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ojetos\ZHC\website\assets\"/>
    </mc:Choice>
  </mc:AlternateContent>
  <bookViews>
    <workbookView xWindow="0" yWindow="0" windowWidth="23040" windowHeight="9192" tabRatio="626" firstSheet="1" activeTab="1"/>
  </bookViews>
  <sheets>
    <sheet name="🌱 Configuração" sheetId="1" r:id="rId1"/>
    <sheet name="📅 Cronograma" sheetId="2" r:id="rId2"/>
    <sheet name="💊 Adubação" sheetId="3" r:id="rId3"/>
    <sheet name="🐛 MIP — Pragas" sheetId="4" r:id="rId4"/>
    <sheet name="📊 Diário" sheetId="5" r:id="rId5"/>
    <sheet name="📖 Guia Rápido" sheetId="6" r:id="rId6"/>
  </sheets>
  <definedNames>
    <definedName name="_xlnm._FilterDatabase" localSheetId="1" hidden="1">'📅 Cronograma'!$A$5:$J$130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30" i="5" l="1"/>
  <c r="C130" i="5"/>
  <c r="L129" i="5"/>
  <c r="C129" i="5"/>
  <c r="L128" i="5"/>
  <c r="C128" i="5"/>
  <c r="L127" i="5"/>
  <c r="C127" i="5"/>
  <c r="L126" i="5"/>
  <c r="C126" i="5"/>
  <c r="L125" i="5"/>
  <c r="C125" i="5"/>
  <c r="L124" i="5"/>
  <c r="C124" i="5"/>
  <c r="L123" i="5"/>
  <c r="C123" i="5"/>
  <c r="L122" i="5"/>
  <c r="C122" i="5"/>
  <c r="L121" i="5"/>
  <c r="C121" i="5"/>
  <c r="L120" i="5"/>
  <c r="C120" i="5"/>
  <c r="L119" i="5"/>
  <c r="C119" i="5"/>
  <c r="L118" i="5"/>
  <c r="C118" i="5"/>
  <c r="L117" i="5"/>
  <c r="C117" i="5"/>
  <c r="L116" i="5"/>
  <c r="C116" i="5"/>
  <c r="L115" i="5"/>
  <c r="C115" i="5"/>
  <c r="L114" i="5"/>
  <c r="C114" i="5"/>
  <c r="L113" i="5"/>
  <c r="C113" i="5"/>
  <c r="L112" i="5"/>
  <c r="C112" i="5"/>
  <c r="L111" i="5"/>
  <c r="C111" i="5"/>
  <c r="L110" i="5"/>
  <c r="C110" i="5"/>
  <c r="L109" i="5"/>
  <c r="C109" i="5"/>
  <c r="L108" i="5"/>
  <c r="C108" i="5"/>
  <c r="L107" i="5"/>
  <c r="C107" i="5"/>
  <c r="L106" i="5"/>
  <c r="C106" i="5"/>
  <c r="L105" i="5"/>
  <c r="C105" i="5"/>
  <c r="L104" i="5"/>
  <c r="C104" i="5"/>
  <c r="L103" i="5"/>
  <c r="C103" i="5"/>
  <c r="L102" i="5"/>
  <c r="C102" i="5"/>
  <c r="L101" i="5"/>
  <c r="C101" i="5"/>
  <c r="L100" i="5"/>
  <c r="C100" i="5"/>
  <c r="L99" i="5"/>
  <c r="C99" i="5"/>
  <c r="L98" i="5"/>
  <c r="C98" i="5"/>
  <c r="L97" i="5"/>
  <c r="C97" i="5"/>
  <c r="L96" i="5"/>
  <c r="C96" i="5"/>
  <c r="L95" i="5"/>
  <c r="C95" i="5"/>
  <c r="L94" i="5"/>
  <c r="C94" i="5"/>
  <c r="L93" i="5"/>
  <c r="C93" i="5"/>
  <c r="L92" i="5"/>
  <c r="C92" i="5"/>
  <c r="L91" i="5"/>
  <c r="C91" i="5"/>
  <c r="L90" i="5"/>
  <c r="C90" i="5"/>
  <c r="L89" i="5"/>
  <c r="C89" i="5"/>
  <c r="L88" i="5"/>
  <c r="C88" i="5"/>
  <c r="L87" i="5"/>
  <c r="C87" i="5"/>
  <c r="L86" i="5"/>
  <c r="C86" i="5"/>
  <c r="L85" i="5"/>
  <c r="C85" i="5"/>
  <c r="L84" i="5"/>
  <c r="C84" i="5"/>
  <c r="L83" i="5"/>
  <c r="C83" i="5"/>
  <c r="L82" i="5"/>
  <c r="C82" i="5"/>
  <c r="L81" i="5"/>
  <c r="C81" i="5"/>
  <c r="L80" i="5"/>
  <c r="C80" i="5"/>
  <c r="L79" i="5"/>
  <c r="C79" i="5"/>
  <c r="L78" i="5"/>
  <c r="C78" i="5"/>
  <c r="L77" i="5"/>
  <c r="C77" i="5"/>
  <c r="L76" i="5"/>
  <c r="C76" i="5"/>
  <c r="L75" i="5"/>
  <c r="C75" i="5"/>
  <c r="L74" i="5"/>
  <c r="C74" i="5"/>
  <c r="L73" i="5"/>
  <c r="C73" i="5"/>
  <c r="L72" i="5"/>
  <c r="C72" i="5"/>
  <c r="L71" i="5"/>
  <c r="C71" i="5"/>
  <c r="L70" i="5"/>
  <c r="C70" i="5"/>
  <c r="L69" i="5"/>
  <c r="C69" i="5"/>
  <c r="L68" i="5"/>
  <c r="C68" i="5"/>
  <c r="L67" i="5"/>
  <c r="C67" i="5"/>
  <c r="L66" i="5"/>
  <c r="C66" i="5"/>
  <c r="L65" i="5"/>
  <c r="C65" i="5"/>
  <c r="L64" i="5"/>
  <c r="C64" i="5"/>
  <c r="L63" i="5"/>
  <c r="C63" i="5"/>
  <c r="L62" i="5"/>
  <c r="C62" i="5"/>
  <c r="L61" i="5"/>
  <c r="C61" i="5"/>
  <c r="L60" i="5"/>
  <c r="C60" i="5"/>
  <c r="L59" i="5"/>
  <c r="C59" i="5"/>
  <c r="L58" i="5"/>
  <c r="C58" i="5"/>
  <c r="L57" i="5"/>
  <c r="C57" i="5"/>
  <c r="L56" i="5"/>
  <c r="C56" i="5"/>
  <c r="L55" i="5"/>
  <c r="C55" i="5"/>
  <c r="L54" i="5"/>
  <c r="C54" i="5"/>
  <c r="L53" i="5"/>
  <c r="C53" i="5"/>
  <c r="L52" i="5"/>
  <c r="C52" i="5"/>
  <c r="L51" i="5"/>
  <c r="C51" i="5"/>
  <c r="L50" i="5"/>
  <c r="C50" i="5"/>
  <c r="L49" i="5"/>
  <c r="C49" i="5"/>
  <c r="L48" i="5"/>
  <c r="C48" i="5"/>
  <c r="L47" i="5"/>
  <c r="C47" i="5"/>
  <c r="L46" i="5"/>
  <c r="C46" i="5"/>
  <c r="L45" i="5"/>
  <c r="C45" i="5"/>
  <c r="L44" i="5"/>
  <c r="C44" i="5"/>
  <c r="L43" i="5"/>
  <c r="C43" i="5"/>
  <c r="L42" i="5"/>
  <c r="C42" i="5"/>
  <c r="L41" i="5"/>
  <c r="C41" i="5"/>
  <c r="L40" i="5"/>
  <c r="C40" i="5"/>
  <c r="L39" i="5"/>
  <c r="C39" i="5"/>
  <c r="L38" i="5"/>
  <c r="C38" i="5"/>
  <c r="L37" i="5"/>
  <c r="C37" i="5"/>
  <c r="L36" i="5"/>
  <c r="C36" i="5"/>
  <c r="L35" i="5"/>
  <c r="C35" i="5"/>
  <c r="L34" i="5"/>
  <c r="C34" i="5"/>
  <c r="L33" i="5"/>
  <c r="C33" i="5"/>
  <c r="L32" i="5"/>
  <c r="C32" i="5"/>
  <c r="L31" i="5"/>
  <c r="C31" i="5"/>
  <c r="L30" i="5"/>
  <c r="C30" i="5"/>
  <c r="L29" i="5"/>
  <c r="C29" i="5"/>
  <c r="L28" i="5"/>
  <c r="C28" i="5"/>
  <c r="L27" i="5"/>
  <c r="C27" i="5"/>
  <c r="L26" i="5"/>
  <c r="C26" i="5"/>
  <c r="L25" i="5"/>
  <c r="C25" i="5"/>
  <c r="L24" i="5"/>
  <c r="C24" i="5"/>
  <c r="L23" i="5"/>
  <c r="C23" i="5"/>
  <c r="L22" i="5"/>
  <c r="C22" i="5"/>
  <c r="L21" i="5"/>
  <c r="C21" i="5"/>
  <c r="L20" i="5"/>
  <c r="C20" i="5"/>
  <c r="L19" i="5"/>
  <c r="C19" i="5"/>
  <c r="L18" i="5"/>
  <c r="C18" i="5"/>
  <c r="L17" i="5"/>
  <c r="C17" i="5"/>
  <c r="L16" i="5"/>
  <c r="C16" i="5"/>
  <c r="L15" i="5"/>
  <c r="C15" i="5"/>
  <c r="L14" i="5"/>
  <c r="C14" i="5"/>
  <c r="L13" i="5"/>
  <c r="C13" i="5"/>
  <c r="L12" i="5"/>
  <c r="C12" i="5"/>
  <c r="L11" i="5"/>
  <c r="C11" i="5"/>
  <c r="L10" i="5"/>
  <c r="C10" i="5"/>
  <c r="L9" i="5"/>
  <c r="C9" i="5"/>
  <c r="L8" i="5"/>
  <c r="C8" i="5"/>
  <c r="L7" i="5"/>
  <c r="C7" i="5"/>
  <c r="L6" i="5"/>
  <c r="C6" i="5"/>
  <c r="C40" i="4"/>
  <c r="C39" i="4"/>
  <c r="C38" i="4"/>
  <c r="C37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H22" i="1"/>
  <c r="F22" i="1"/>
  <c r="D22" i="1"/>
  <c r="H21" i="1"/>
  <c r="F21" i="1"/>
  <c r="D21" i="1"/>
  <c r="H20" i="1"/>
  <c r="F20" i="1"/>
  <c r="D20" i="1"/>
  <c r="H19" i="1"/>
  <c r="F19" i="1"/>
  <c r="D19" i="1"/>
  <c r="I10" i="1"/>
  <c r="F23" i="1" s="1"/>
  <c r="D23" i="1" l="1"/>
</calcChain>
</file>

<file path=xl/sharedStrings.xml><?xml version="1.0" encoding="utf-8"?>
<sst xmlns="http://schemas.openxmlformats.org/spreadsheetml/2006/main" count="1294" uniqueCount="547">
  <si>
    <t>🌿  PLANILHA MESTRA DE CULTIVO  —  Cannabis Medicinal Indoor</t>
  </si>
  <si>
    <t>Configure o Dia 1 do Clone abaixo. Todas as datas e recomendações serão calculadas automaticamente.</t>
  </si>
  <si>
    <t>⚙️  CONFIGURAÇÕES DO CULTIVO</t>
  </si>
  <si>
    <t>📅 Data Dia 1 (Clone)</t>
  </si>
  <si>
    <t>⏱️ Duração Clone (dias)</t>
  </si>
  <si>
    <t>14</t>
  </si>
  <si>
    <t>🌿 Strain / Cultivar</t>
  </si>
  <si>
    <t>⏱️ Duração Vega (dias)</t>
  </si>
  <si>
    <t>42</t>
  </si>
  <si>
    <t>💡 Ambiente</t>
  </si>
  <si>
    <t>Indoor LED</t>
  </si>
  <si>
    <t>⏱️ Duração Flora (dias)</t>
  </si>
  <si>
    <t>63</t>
  </si>
  <si>
    <t>📐 Área (m²)</t>
  </si>
  <si>
    <t>1.2</t>
  </si>
  <si>
    <t>⏱️ Flush (dias)</t>
  </si>
  <si>
    <t>7</t>
  </si>
  <si>
    <t>🔆 Luz na Vega (h)</t>
  </si>
  <si>
    <t>18</t>
  </si>
  <si>
    <t>⏱️ TOTAL CULTIVO (dias)</t>
  </si>
  <si>
    <t>🔆 Luz na Flora (h)</t>
  </si>
  <si>
    <t>12</t>
  </si>
  <si>
    <t>🪴 Nº de Plantas</t>
  </si>
  <si>
    <t>4</t>
  </si>
  <si>
    <t>🌡️ Temperatura (°C)</t>
  </si>
  <si>
    <t>24</t>
  </si>
  <si>
    <t>💧 Umidade Vega (%)</t>
  </si>
  <si>
    <t>65</t>
  </si>
  <si>
    <t>💧 Umidade Flora (%)</t>
  </si>
  <si>
    <t>50</t>
  </si>
  <si>
    <t>📆  CALENDÁRIO DE FASES  (calculado automaticamente)</t>
  </si>
  <si>
    <t>Fase</t>
  </si>
  <si>
    <t>Início</t>
  </si>
  <si>
    <t>Fim</t>
  </si>
  <si>
    <t>Duração</t>
  </si>
  <si>
    <t>🌱 CLONE</t>
  </si>
  <si>
    <t>🌿 VEGETATIVO</t>
  </si>
  <si>
    <t>🌸 FLORAÇÃO</t>
  </si>
  <si>
    <t>🚿 FLUSH</t>
  </si>
  <si>
    <t>✂️ COLHEITA</t>
  </si>
  <si>
    <t>"Dia da colheita"</t>
  </si>
  <si>
    <t>📌  LEGENDA E INSTRUÇÕES</t>
  </si>
  <si>
    <t>🟡 Célula amarela</t>
  </si>
  <si>
    <t>Campo de entrada — preencha com os dados do seu cultivo</t>
  </si>
  <si>
    <t>🟢 Verde</t>
  </si>
  <si>
    <t>Fase Clone / início do ciclo</t>
  </si>
  <si>
    <t>🔵 Azul</t>
  </si>
  <si>
    <t>Fase Vegetativa</t>
  </si>
  <si>
    <t>🟣 Roxo</t>
  </si>
  <si>
    <t>Fase de Floração</t>
  </si>
  <si>
    <t>🔴 Vermelho</t>
  </si>
  <si>
    <t>Flush (lavagem do substrato)</t>
  </si>
  <si>
    <t>📋 Aba Cronograma</t>
  </si>
  <si>
    <t>Calendário diário completo — gerado após preencher a Data Dia 1</t>
  </si>
  <si>
    <t>💊 Aba Adubação</t>
  </si>
  <si>
    <t>Protocolo de nutrição por fase com doses e produtos</t>
  </si>
  <si>
    <t>🐛 Aba Pragas (MIP)</t>
  </si>
  <si>
    <t>Calendário de controle integrado de pragas preventivo</t>
  </si>
  <si>
    <t>📊 Aba Diário</t>
  </si>
  <si>
    <t>Registro diário de parâmetros — temperatura, pH, CE, observações</t>
  </si>
  <si>
    <t>📅  CRONOGRAMA COMPLETO DO CULTIVO</t>
  </si>
  <si>
    <t>Todas as datas são calculadas automaticamente a partir do Dia 1 configurado na aba Configuração</t>
  </si>
  <si>
    <t>Dia</t>
  </si>
  <si>
    <t>Data</t>
  </si>
  <si>
    <t>Semana</t>
  </si>
  <si>
    <t>Adubação</t>
  </si>
  <si>
    <t>MIP / Pragas</t>
  </si>
  <si>
    <t>Ação Principal</t>
  </si>
  <si>
    <t>Observação / Alerta</t>
  </si>
  <si>
    <t>1</t>
  </si>
  <si>
    <t>Clone</t>
  </si>
  <si>
    <t>Clone S1</t>
  </si>
  <si>
    <t>✂️ Receber clone — verificar raízes</t>
  </si>
  <si>
    <t>2</t>
  </si>
  <si>
    <t>🐛 MIP: Nim (2mL/L) — preventivo foliar</t>
  </si>
  <si>
    <t>3</t>
  </si>
  <si>
    <t>🌱 Enraizador (0.5 mL/L)</t>
  </si>
  <si>
    <t>💧 1ª rega com enraizador</t>
  </si>
  <si>
    <t>5</t>
  </si>
  <si>
    <t>6</t>
  </si>
  <si>
    <t>🔍 Verificar pegamento do clone</t>
  </si>
  <si>
    <t>⚠️ pH ideal: 5.8–6.2 (coco/hidro) | 6.0–6.8 (terra)</t>
  </si>
  <si>
    <t>8</t>
  </si>
  <si>
    <t>Clone S2</t>
  </si>
  <si>
    <t>9</t>
  </si>
  <si>
    <t>🐛 MIP: Beauveria bassiana — preventivo</t>
  </si>
  <si>
    <t>10</t>
  </si>
  <si>
    <t>11</t>
  </si>
  <si>
    <t>🌱 Enraizador + Vitamina B1</t>
  </si>
  <si>
    <t>13</t>
  </si>
  <si>
    <t>🐛 MIP: Nim (2mL/L) — fim clone</t>
  </si>
  <si>
    <t>📐 Medir crescimento — avaliar vega</t>
  </si>
  <si>
    <t>⚠️ Clone deve ter raízes visíveis</t>
  </si>
  <si>
    <t>15</t>
  </si>
  <si>
    <t>Vegetativo</t>
  </si>
  <si>
    <t>Vega S1</t>
  </si>
  <si>
    <t>🔆 Iniciar Vega — aumentar espaço</t>
  </si>
  <si>
    <t>16</t>
  </si>
  <si>
    <t>🌿 Grow A+B — Início Vega (EC 0.8)</t>
  </si>
  <si>
    <t>🌿 1ª adubação completa</t>
  </si>
  <si>
    <t>17</t>
  </si>
  <si>
    <t>19</t>
  </si>
  <si>
    <t>20</t>
  </si>
  <si>
    <t>21</t>
  </si>
  <si>
    <t>🌿 Grow A+B — EC 1.0</t>
  </si>
  <si>
    <t>🐛 MIP: Beauveria bassiana</t>
  </si>
  <si>
    <t>✂️ LST ou Topping (opcional)</t>
  </si>
  <si>
    <t>⚠️ Monitorar pH e CE da solução</t>
  </si>
  <si>
    <t>22</t>
  </si>
  <si>
    <t>Vega S2</t>
  </si>
  <si>
    <t>23</t>
  </si>
  <si>
    <t>25</t>
  </si>
  <si>
    <t>🌿 Grow A+B + CalMag (EC 1.2)</t>
  </si>
  <si>
    <t>26</t>
  </si>
  <si>
    <t>27</t>
  </si>
  <si>
    <t>28</t>
  </si>
  <si>
    <t>🌿 Grow A+B + CalMag (EC 1.4)</t>
  </si>
  <si>
    <t>🐛 MIP: Nim (2mL/L) foliar</t>
  </si>
  <si>
    <t>📏 Avaliar altura e estrutura</t>
  </si>
  <si>
    <t>29</t>
  </si>
  <si>
    <t>Vega S3</t>
  </si>
  <si>
    <t>30</t>
  </si>
  <si>
    <t>31</t>
  </si>
  <si>
    <t>32</t>
  </si>
  <si>
    <t>🌿 Grow A+B + Enzimas</t>
  </si>
  <si>
    <t>33</t>
  </si>
  <si>
    <t>34</t>
  </si>
  <si>
    <t>35</t>
  </si>
  <si>
    <t>🌿 Grow A+B + Biorrizas</t>
  </si>
  <si>
    <t>🐛 MIP: Trichoderma — solo</t>
  </si>
  <si>
    <t>✂️ Lollipopping se necessário</t>
  </si>
  <si>
    <t>⚠️ Verificar sinais de deficiência</t>
  </si>
  <si>
    <t>36</t>
  </si>
  <si>
    <t>Vega S4</t>
  </si>
  <si>
    <t>37</t>
  </si>
  <si>
    <t>38</t>
  </si>
  <si>
    <t>🌿 Grow A+B + CalMag (EC 1.5)</t>
  </si>
  <si>
    <t>39</t>
  </si>
  <si>
    <t>40</t>
  </si>
  <si>
    <t>41</t>
  </si>
  <si>
    <t>🌿 Transição → Bloom (EC 1.4)</t>
  </si>
  <si>
    <t>🐛 MIP: Nim (2mL/L) — última foliar antes flora</t>
  </si>
  <si>
    <t>⏰ Preparar transição para flora</t>
  </si>
  <si>
    <t>⚠️ Última semana de luz 18h</t>
  </si>
  <si>
    <t>43</t>
  </si>
  <si>
    <t>Vega S5</t>
  </si>
  <si>
    <t>🌸 INICIAR FLORAÇÃO — mudar fotoperíodo 12/12</t>
  </si>
  <si>
    <t>🔴 MUDANÇA: 12h luz / 12h escuro</t>
  </si>
  <si>
    <t>44</t>
  </si>
  <si>
    <t>45</t>
  </si>
  <si>
    <t>🌿 Bloom A+B — Transição</t>
  </si>
  <si>
    <t>46</t>
  </si>
  <si>
    <t>47</t>
  </si>
  <si>
    <t>48</t>
  </si>
  <si>
    <t>49</t>
  </si>
  <si>
    <t>Vega S6</t>
  </si>
  <si>
    <t>51</t>
  </si>
  <si>
    <t>52</t>
  </si>
  <si>
    <t>53</t>
  </si>
  <si>
    <t>54</t>
  </si>
  <si>
    <t>55</t>
  </si>
  <si>
    <t>56</t>
  </si>
  <si>
    <t>🐛 MIP: Nim solo (cascas) — NÃO foliar em flora</t>
  </si>
  <si>
    <t>57</t>
  </si>
  <si>
    <t>Floração</t>
  </si>
  <si>
    <t>Flora S1</t>
  </si>
  <si>
    <t>🔍 Verificar formação de pistils</t>
  </si>
  <si>
    <t>⚠️ Sem foliar após início flora</t>
  </si>
  <si>
    <t>58</t>
  </si>
  <si>
    <t>🌸 Bloom A+B (EC 1.6)</t>
  </si>
  <si>
    <t>59</t>
  </si>
  <si>
    <t>60</t>
  </si>
  <si>
    <t>61</t>
  </si>
  <si>
    <t>62</t>
  </si>
  <si>
    <t>🌸 Bloom + PK 13/14 início</t>
  </si>
  <si>
    <t>🐛 MIP: Trichoderma solo</t>
  </si>
  <si>
    <t>📷 Foto semanal — registro</t>
  </si>
  <si>
    <t>64</t>
  </si>
  <si>
    <t>Flora S2</t>
  </si>
  <si>
    <t>66</t>
  </si>
  <si>
    <t>67</t>
  </si>
  <si>
    <t>68</t>
  </si>
  <si>
    <t>69</t>
  </si>
  <si>
    <t>70</t>
  </si>
  <si>
    <t>🌸 Bloom + PK 13/14 + CalMag</t>
  </si>
  <si>
    <t>🐛 MIP: Beauveria bassiana solo</t>
  </si>
  <si>
    <t>🔬 Início enchimento de buds</t>
  </si>
  <si>
    <t>⚠️ Monitorar umidade — risco de mofo</t>
  </si>
  <si>
    <t>71</t>
  </si>
  <si>
    <t>Flora S3</t>
  </si>
  <si>
    <t>72</t>
  </si>
  <si>
    <t>73</t>
  </si>
  <si>
    <t>74</t>
  </si>
  <si>
    <t>75</t>
  </si>
  <si>
    <t>76</t>
  </si>
  <si>
    <t>77</t>
  </si>
  <si>
    <t>🌸 Bloom + Boost Floral (EC 1.8)</t>
  </si>
  <si>
    <t>💪 Pico de enchimento — aumentar P e K</t>
  </si>
  <si>
    <t>78</t>
  </si>
  <si>
    <t>Flora S4</t>
  </si>
  <si>
    <t>79</t>
  </si>
  <si>
    <t>80</t>
  </si>
  <si>
    <t>81</t>
  </si>
  <si>
    <t>82</t>
  </si>
  <si>
    <t>83</t>
  </si>
  <si>
    <t>84</t>
  </si>
  <si>
    <t>🌸 Bloom + Boost + Amino (EC 2.0)</t>
  </si>
  <si>
    <t>🔬 Analisar tricomas (lupa)</t>
  </si>
  <si>
    <t>⚠️ Manter umidade &lt; 45% na flora final</t>
  </si>
  <si>
    <t>85</t>
  </si>
  <si>
    <t>Flora S5</t>
  </si>
  <si>
    <t>86</t>
  </si>
  <si>
    <t>87</t>
  </si>
  <si>
    <t>88</t>
  </si>
  <si>
    <t>89</t>
  </si>
  <si>
    <t>90</t>
  </si>
  <si>
    <t>91</t>
  </si>
  <si>
    <t>🌸 Bloom + Enzimas + Amino</t>
  </si>
  <si>
    <t>🐛 MIP: Verificar pragas — sem aplicação química</t>
  </si>
  <si>
    <t>🔬 Analisar tricomas — maioria leitosos?</t>
  </si>
  <si>
    <t>🔬 Tricomas: leitosos = quase pronto</t>
  </si>
  <si>
    <t>92</t>
  </si>
  <si>
    <t>Flora S6</t>
  </si>
  <si>
    <t>93</t>
  </si>
  <si>
    <t>94</t>
  </si>
  <si>
    <t>95</t>
  </si>
  <si>
    <t>96</t>
  </si>
  <si>
    <t>97</t>
  </si>
  <si>
    <t>98</t>
  </si>
  <si>
    <t>🌸 Reduir N — Bloom puro (EC 1.6)</t>
  </si>
  <si>
    <t>⚠️ Reduzir N — fase final</t>
  </si>
  <si>
    <t>99</t>
  </si>
  <si>
    <t>Flora S7</t>
  </si>
  <si>
    <t>100</t>
  </si>
  <si>
    <t>101</t>
  </si>
  <si>
    <t>102</t>
  </si>
  <si>
    <t>103</t>
  </si>
  <si>
    <t>104</t>
  </si>
  <si>
    <t>105</t>
  </si>
  <si>
    <t>🌸 Bloom puro (EC 1.4) — pré-flush</t>
  </si>
  <si>
    <t>🚿 Preparar para flush</t>
  </si>
  <si>
    <t>⚠️ Parar toda nutrição — somente água</t>
  </si>
  <si>
    <t>106</t>
  </si>
  <si>
    <t>Flora S8</t>
  </si>
  <si>
    <t>107</t>
  </si>
  <si>
    <t>108</t>
  </si>
  <si>
    <t>109</t>
  </si>
  <si>
    <t>110</t>
  </si>
  <si>
    <t>111</t>
  </si>
  <si>
    <t>112</t>
  </si>
  <si>
    <t>🚿 Água pura + Enzimas (EC &lt; 0.3)</t>
  </si>
  <si>
    <t>🚿 INICIAR FLUSH</t>
  </si>
  <si>
    <t>113</t>
  </si>
  <si>
    <t>Flora S9</t>
  </si>
  <si>
    <t>114</t>
  </si>
  <si>
    <t>115</t>
  </si>
  <si>
    <t>116</t>
  </si>
  <si>
    <t>🚿 Água pura (EC &lt; 0.2)</t>
  </si>
  <si>
    <t>117</t>
  </si>
  <si>
    <t>118</t>
  </si>
  <si>
    <t>119</t>
  </si>
  <si>
    <t>🚿 Água pura — análise tricomas</t>
  </si>
  <si>
    <t>🔬 Tricomas âmbar 20-30%? Quase pronto!</t>
  </si>
  <si>
    <t>🔬 Âmbar 10-30% = colher conforme efeito desejado</t>
  </si>
  <si>
    <t>120</t>
  </si>
  <si>
    <t>Flush</t>
  </si>
  <si>
    <t>Flush S1</t>
  </si>
  <si>
    <t>121</t>
  </si>
  <si>
    <t>122</t>
  </si>
  <si>
    <t>✂️ COLHEITA — Feliz colheita! 🎉</t>
  </si>
  <si>
    <t>123</t>
  </si>
  <si>
    <t>124</t>
  </si>
  <si>
    <t>125</t>
  </si>
  <si>
    <t>💊  PROTOCOLO DE ADUBAÇÃO — Cannabis Medicinal Indoor</t>
  </si>
  <si>
    <t>Doses por litro de água. Sempre ajuste EC e pH após mistura. pH ideal: 5.8–6.2 (hidro/coco) | 6.0–6.8 (terra)</t>
  </si>
  <si>
    <t>🌱 CLONE (Dia 1–14)</t>
  </si>
  <si>
    <t>Período</t>
  </si>
  <si>
    <t>Base N-P-K</t>
  </si>
  <si>
    <t>Dose</t>
  </si>
  <si>
    <t>CalMag</t>
  </si>
  <si>
    <t>PK Booster</t>
  </si>
  <si>
    <t>Estimulante</t>
  </si>
  <si>
    <t>Suplemento</t>
  </si>
  <si>
    <t>pH alvo</t>
  </si>
  <si>
    <t>EC alvo</t>
  </si>
  <si>
    <t>Observação</t>
  </si>
  <si>
    <t>Dia 1–3</t>
  </si>
  <si>
    <t>Enraizador</t>
  </si>
  <si>
    <t>0.5 mL/L</t>
  </si>
  <si>
    <t>-</t>
  </si>
  <si>
    <t>5.8–6.0</t>
  </si>
  <si>
    <t>N/A</t>
  </si>
  <si>
    <t>Solo úmido</t>
  </si>
  <si>
    <t>Dia 4–7</t>
  </si>
  <si>
    <t>Evitar encharcamento</t>
  </si>
  <si>
    <t>Dia 8–10</t>
  </si>
  <si>
    <t>Enraizador + Vit B1</t>
  </si>
  <si>
    <t>B1 fortalece raízes</t>
  </si>
  <si>
    <t>Dia 11–14</t>
  </si>
  <si>
    <t>Biorrizas</t>
  </si>
  <si>
    <t>6.0</t>
  </si>
  <si>
    <t>0.4</t>
  </si>
  <si>
    <t>Avaliar pegamento</t>
  </si>
  <si>
    <t>🌿 VEGETATIVO (Dia 15–56)</t>
  </si>
  <si>
    <t>S1 (D15–21)</t>
  </si>
  <si>
    <t>Grow A+B</t>
  </si>
  <si>
    <t>1 mL/L</t>
  </si>
  <si>
    <t>CalMag 0.5mL</t>
  </si>
  <si>
    <t>0.8</t>
  </si>
  <si>
    <t>Início suave</t>
  </si>
  <si>
    <t>S2 (D22–28)</t>
  </si>
  <si>
    <t>2 mL/L</t>
  </si>
  <si>
    <t>CalMag 1mL</t>
  </si>
  <si>
    <t>Enzimas</t>
  </si>
  <si>
    <t>6.1</t>
  </si>
  <si>
    <t>1.0</t>
  </si>
  <si>
    <t>Monitorar CE</t>
  </si>
  <si>
    <t>S3 (D29–35)</t>
  </si>
  <si>
    <t>3 mL/L</t>
  </si>
  <si>
    <t>LST/Topping</t>
  </si>
  <si>
    <t>S4 (D36–42)</t>
  </si>
  <si>
    <t>CalMag 1.5mL</t>
  </si>
  <si>
    <t>6.2</t>
  </si>
  <si>
    <t>1.4</t>
  </si>
  <si>
    <t>Estrutura boa</t>
  </si>
  <si>
    <t>S5 (D43–49)</t>
  </si>
  <si>
    <t>1.5</t>
  </si>
  <si>
    <t>Pré-transição</t>
  </si>
  <si>
    <t>S6 (D50–56)</t>
  </si>
  <si>
    <t>Bloom A+B</t>
  </si>
  <si>
    <t>PK 0.5mL</t>
  </si>
  <si>
    <t>Transição 12/12</t>
  </si>
  <si>
    <t>🌸 FLORAÇÃO (Dia 57–119)</t>
  </si>
  <si>
    <t>S1 (D57–63)</t>
  </si>
  <si>
    <t>Boost 0.5</t>
  </si>
  <si>
    <t>1.6</t>
  </si>
  <si>
    <t>Formação pistils</t>
  </si>
  <si>
    <t>S2 (D64–70)</t>
  </si>
  <si>
    <t>Boost 1mL</t>
  </si>
  <si>
    <t>1.7</t>
  </si>
  <si>
    <t>Enchimento inicia</t>
  </si>
  <si>
    <t>S3 (D71–77)</t>
  </si>
  <si>
    <t>4 mL/L</t>
  </si>
  <si>
    <t>PK 1mL</t>
  </si>
  <si>
    <t>Amino</t>
  </si>
  <si>
    <t>1.8</t>
  </si>
  <si>
    <t>Pico de PK</t>
  </si>
  <si>
    <t>S4 (D78–84)</t>
  </si>
  <si>
    <t>PK 1.5mL</t>
  </si>
  <si>
    <t>2.0</t>
  </si>
  <si>
    <t>Máximo enchimento</t>
  </si>
  <si>
    <t>S5 (D85–91)</t>
  </si>
  <si>
    <t>CalMag 0.5</t>
  </si>
  <si>
    <t>Analisar tricomas</t>
  </si>
  <si>
    <t>S6 (D92–98)</t>
  </si>
  <si>
    <t>Reduzir nutrição</t>
  </si>
  <si>
    <t>S7 (D99–105)</t>
  </si>
  <si>
    <t>Pré-flush</t>
  </si>
  <si>
    <t>S8 (D106–112)</t>
  </si>
  <si>
    <t>Últimos nutrientes</t>
  </si>
  <si>
    <t>🚿 FLUSH (Dia 113–119)</t>
  </si>
  <si>
    <t>D113–116</t>
  </si>
  <si>
    <t>Água pura</t>
  </si>
  <si>
    <t>Enzimas 1mL</t>
  </si>
  <si>
    <t>&lt;0.3</t>
  </si>
  <si>
    <t>Lavar substrato</t>
  </si>
  <si>
    <t>D117–119</t>
  </si>
  <si>
    <t>&lt;0.2</t>
  </si>
  <si>
    <t>Tricomas âmbar?</t>
  </si>
  <si>
    <t>🐛  MIP — CONTROLE INTEGRADO DE PRAGAS  (Preventivo)</t>
  </si>
  <si>
    <t>Protocolo preventivo — Nunca aplicar foliar em floração avançada (após semana 3 de flora)</t>
  </si>
  <si>
    <t>🛡️  PRODUTOS RECOMENDADOS — Biológicos e Orgânicos</t>
  </si>
  <si>
    <t>Produto</t>
  </si>
  <si>
    <t>Aplicação</t>
  </si>
  <si>
    <t>Alvo / Ação</t>
  </si>
  <si>
    <t>Frequência</t>
  </si>
  <si>
    <t>🌿 Óleo de Nim (Neem Oil)</t>
  </si>
  <si>
    <t>2–3 mL/L água</t>
  </si>
  <si>
    <t>Foliar (clone/vega) | Solo (flora)</t>
  </si>
  <si>
    <t>Acaricida, inseticida, fungicida</t>
  </si>
  <si>
    <t>A cada 7 dias preventivo</t>
  </si>
  <si>
    <t>⚠️ NÃO usar em flora avançada</t>
  </si>
  <si>
    <t>🍄 Beauveria bassiana</t>
  </si>
  <si>
    <t>5–10 g/L</t>
  </si>
  <si>
    <t>Foliar e solo</t>
  </si>
  <si>
    <t>Fungo entomopatogênico — tripes, mosca branca</t>
  </si>
  <si>
    <t>A cada 14 dias</t>
  </si>
  <si>
    <t>Refrigerar após abrir</t>
  </si>
  <si>
    <t>🦠 Trichoderma harzianum</t>
  </si>
  <si>
    <t>2–5 g/L</t>
  </si>
  <si>
    <t>Solo / substrato</t>
  </si>
  <si>
    <t>Fungos do solo, Pythium, Fusarium</t>
  </si>
  <si>
    <t>A cada 21 dias no solo</t>
  </si>
  <si>
    <t>Aplicar ao regar</t>
  </si>
  <si>
    <t>🌱 Extrato de Alho</t>
  </si>
  <si>
    <t>Foliar</t>
  </si>
  <si>
    <t>Repelente geral, ácaros, pulgões</t>
  </si>
  <si>
    <t>A cada 10 dias (vega)</t>
  </si>
  <si>
    <t>Pode combinar com nim</t>
  </si>
  <si>
    <t>🐞 Bacillus thuringiensis</t>
  </si>
  <si>
    <t>5 mL/L</t>
  </si>
  <si>
    <t>Lagartas, moscas fungosas</t>
  </si>
  <si>
    <t>Quando detectar larvas</t>
  </si>
  <si>
    <t>Bioinseticida seletivo</t>
  </si>
  <si>
    <t>🔬 Extrato de Quassia</t>
  </si>
  <si>
    <t>Pulgões, mosca branca, tripes</t>
  </si>
  <si>
    <t>A cada 10 dias</t>
  </si>
  <si>
    <t>Combina bem com nim</t>
  </si>
  <si>
    <t>🟡 Calda Sulfocálcica</t>
  </si>
  <si>
    <t>Brix 20–30° diluído
1–3% (10–30 mL/L)</t>
  </si>
  <si>
    <t>Foliar (clone/vega)
Solo preventivo</t>
  </si>
  <si>
    <t>Acaricida, fungicida
Ácaros, oídio, escamas</t>
  </si>
  <si>
    <t>A cada 14–21 dias
⚠️ NÃO em floração</t>
  </si>
  <si>
    <t>⚠️ Não misturar com óleos.
Aplicar ao entardecer.</t>
  </si>
  <si>
    <t>🔵 Calda Bordalesa</t>
  </si>
  <si>
    <t>0.5–1%
(5–10 mL/L ou preparo próprio)</t>
  </si>
  <si>
    <t>Foliar preventivo
Clone e Vega apenas</t>
  </si>
  <si>
    <t>Fungicida cúprico
Míldio, antracnose, Botrytis</t>
  </si>
  <si>
    <t>A cada 15–21 dias
⚠️ NÃO em floração</t>
  </si>
  <si>
    <t>⚠️ Base cobre — não exagerar.
Fitotoxidade em excesso.</t>
  </si>
  <si>
    <t>📅  CALENDÁRIO DE APLICAÇÕES PREVENTIVAS</t>
  </si>
  <si>
    <t>Via de Aplicação</t>
  </si>
  <si>
    <t>Nim</t>
  </si>
  <si>
    <t>Foliar leve</t>
  </si>
  <si>
    <t>Preventivo geral — cuidado nas folhas</t>
  </si>
  <si>
    <t>Beauveria bassiana</t>
  </si>
  <si>
    <t>5 g/L</t>
  </si>
  <si>
    <t>Foliar + solo</t>
  </si>
  <si>
    <t>Fungo entomopatogênico</t>
  </si>
  <si>
    <t>Extrato de Alho</t>
  </si>
  <si>
    <t>Repelente preventivo</t>
  </si>
  <si>
    <t>Última foliar pré-vega</t>
  </si>
  <si>
    <t>Nim + Alho</t>
  </si>
  <si>
    <t>2+3mL/L</t>
  </si>
  <si>
    <t>Combinação eficiente</t>
  </si>
  <si>
    <t>Trichoderma</t>
  </si>
  <si>
    <t>3 g/L</t>
  </si>
  <si>
    <t>Solo (rega)</t>
  </si>
  <si>
    <t>Solo saudável = planta forte</t>
  </si>
  <si>
    <t>⚠️ ÚLTIMA FOLIAR com Nim</t>
  </si>
  <si>
    <t>Solo apenas</t>
  </si>
  <si>
    <t>⚠️ SEM FOLIAR em floração</t>
  </si>
  <si>
    <t>B. thuringiensis</t>
  </si>
  <si>
    <t>Controle larvas solo</t>
  </si>
  <si>
    <t>Inspecionar buds visualmente</t>
  </si>
  <si>
    <t>Inspeção visual</t>
  </si>
  <si>
    <t>Inspecionar tudo</t>
  </si>
  <si>
    <t>⚠️ Verificar mofo branco/cinza</t>
  </si>
  <si>
    <t>Inspeção final</t>
  </si>
  <si>
    <t>Inspecionar buds</t>
  </si>
  <si>
    <t>⚠️ Tricomas — avaliar colheita</t>
  </si>
  <si>
    <t>Calda Sulfocálcica</t>
  </si>
  <si>
    <t>1% (10 mL/L)</t>
  </si>
  <si>
    <t>Foliar preventivo</t>
  </si>
  <si>
    <t>⚠️ Preventivo ácaros — aplicar ao entardecer</t>
  </si>
  <si>
    <t>Calda Bordalesa</t>
  </si>
  <si>
    <t>0.5% (5 mL/L)</t>
  </si>
  <si>
    <t>⚠️ Preventivo fungos — não combinar com nim</t>
  </si>
  <si>
    <t>Ácaros — verificar face inferior das folhas</t>
  </si>
  <si>
    <t>⚠️ ÚLTIMA foliar antes da floração</t>
  </si>
  <si>
    <t>⚠️  COMPATIBILIDADE — Calda Sulfocálcica e Calda Bordalesa</t>
  </si>
  <si>
    <t>Regra</t>
  </si>
  <si>
    <t>Detalhe / Explicação</t>
  </si>
  <si>
    <t>❌ Não misturar</t>
  </si>
  <si>
    <t>Calda Sulfocálcica + Calda Bordalesa — nunca na mesma semana</t>
  </si>
  <si>
    <t>Calda Sulfocálcica + Óleo de Nim — fitotoxidade grave</t>
  </si>
  <si>
    <t>❌ Nunca foliar</t>
  </si>
  <si>
    <t>Ambas as caldas em floração — risco de contaminar buds e alterar sabor</t>
  </si>
  <si>
    <t>⏱️ Intervalo mínimo</t>
  </si>
  <si>
    <t>7–10 dias entre Calda Sulfocálcica e qualquer outro foliar</t>
  </si>
  <si>
    <t>🌡️ Temperatura</t>
  </si>
  <si>
    <t>Não aplicar Sulfocálcica com temp. &gt; 30°C — risco de queima foliar</t>
  </si>
  <si>
    <t>🌙 Horário ideal</t>
  </si>
  <si>
    <t>Sempre ao entardecer — evitar sol forte após ambas as caldas</t>
  </si>
  <si>
    <t>✅ Pode combinar</t>
  </si>
  <si>
    <t>Calda Bordalesa + Trichoderma solo (aplicar em dias diferentes)</t>
  </si>
  <si>
    <t>Calda Sulfocálcica + Beauveria bassiana solo (não misturar na calda)</t>
  </si>
  <si>
    <t>📊  DIÁRIO DE CULTIVO — Registro Diário de Parâmetros</t>
  </si>
  <si>
    <t>Registre diariamente os parâmetros do cultivo. Os alertas em vermelho indicam valores fora do ideal.</t>
  </si>
  <si>
    <t>Temp (°C)</t>
  </si>
  <si>
    <t>Umidade (%)</t>
  </si>
  <si>
    <t>pH água</t>
  </si>
  <si>
    <t>CE (mS/cm)</t>
  </si>
  <si>
    <t>pH run-off</t>
  </si>
  <si>
    <t>Rega (L)</t>
  </si>
  <si>
    <t>Observações</t>
  </si>
  <si>
    <t>Alertas / Status</t>
  </si>
  <si>
    <t>📖  GUIA RÁPIDO — Parâmetros e Referências</t>
  </si>
  <si>
    <t>🌡️ TEMPERATURA</t>
  </si>
  <si>
    <t>Parâmetro</t>
  </si>
  <si>
    <t>Valor / Faixa Ideal</t>
  </si>
  <si>
    <t>Dia (luz acesa)</t>
  </si>
  <si>
    <t>22–26°C (ideal 24°C)</t>
  </si>
  <si>
    <t>Noite (luz apagada)</t>
  </si>
  <si>
    <t>18–22°C</t>
  </si>
  <si>
    <t>Máximo tolerável</t>
  </si>
  <si>
    <t>30°C (acima: estresse)</t>
  </si>
  <si>
    <t>Clone — temperatura</t>
  </si>
  <si>
    <t>23–26°C (sem variação)</t>
  </si>
  <si>
    <t>💧 UMIDADE RELATIVA</t>
  </si>
  <si>
    <t>70–80%</t>
  </si>
  <si>
    <t>55–70%</t>
  </si>
  <si>
    <t>Floração S1–S4</t>
  </si>
  <si>
    <t>40–55%</t>
  </si>
  <si>
    <t>Floração S5+</t>
  </si>
  <si>
    <t>35–45% (risco de mofo)</t>
  </si>
  <si>
    <t>Flush / final</t>
  </si>
  <si>
    <t>&lt; 40%</t>
  </si>
  <si>
    <t>⚗️ pH DA ÁGUA</t>
  </si>
  <si>
    <t>Terra / mix orgânico</t>
  </si>
  <si>
    <t>6.0–6.8</t>
  </si>
  <si>
    <t>Coco coir</t>
  </si>
  <si>
    <t>5.8–6.2</t>
  </si>
  <si>
    <t>Hidroponia</t>
  </si>
  <si>
    <t>5.5–6.1</t>
  </si>
  <si>
    <t>Run-off ideal</t>
  </si>
  <si>
    <t>± 0.2 do pH de entrada</t>
  </si>
  <si>
    <t>📊 CONDUTIVIDADE (EC)</t>
  </si>
  <si>
    <t>0.0–0.4 mS/cm</t>
  </si>
  <si>
    <t>Vegetativo inicial</t>
  </si>
  <si>
    <t>0.8–1.2 mS/cm</t>
  </si>
  <si>
    <t>Vegetativo pleno</t>
  </si>
  <si>
    <t>1.2–1.6 mS/cm</t>
  </si>
  <si>
    <t>Floração inicial</t>
  </si>
  <si>
    <t>1.4–1.8 mS/cm</t>
  </si>
  <si>
    <t>Floração pico</t>
  </si>
  <si>
    <t>1.8–2.2 mS/cm</t>
  </si>
  <si>
    <t>&lt; 0.3 mS/cm</t>
  </si>
  <si>
    <t>🔬 ANÁLISE DE TRICOMAS</t>
  </si>
  <si>
    <t>Transparentes</t>
  </si>
  <si>
    <t>Imaturos — não colher</t>
  </si>
  <si>
    <t>Leitosos / opacos</t>
  </si>
  <si>
    <t>Efeito mais cerebral/alto</t>
  </si>
  <si>
    <t>Âmbar 10–20%</t>
  </si>
  <si>
    <t>Efeito equilibrado (ideal médico)</t>
  </si>
  <si>
    <t>Âmbar 30–50%</t>
  </si>
  <si>
    <t>Efeito mais sedativo/corporal</t>
  </si>
  <si>
    <t>Âmbar &gt; 50%</t>
  </si>
  <si>
    <t>Degradação de THC → CBN</t>
  </si>
  <si>
    <t>💡 FOTOPERÍODO</t>
  </si>
  <si>
    <t>Propagação/Clone</t>
  </si>
  <si>
    <t>18h luz / 6h escuro (ou 24h)</t>
  </si>
  <si>
    <t>18h luz / 6h escuro</t>
  </si>
  <si>
    <t>Indução de floração</t>
  </si>
  <si>
    <t>12h luz / 12h escuro</t>
  </si>
  <si>
    <t>Oscilação tolerável</t>
  </si>
  <si>
    <t>Máx ±15 min por 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</si>
</sst>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i/>
      <sz val="10"/>
      <color rgb="FFFFFFFF"/>
      <name val="Arial"/>
      <charset val="1"/>
    </font>
    <font>
      <b/>
      <sz val="12"/>
      <color rgb="FFFFFFFF"/>
      <name val="Arial"/>
      <charset val="1"/>
    </font>
    <font>
      <b/>
      <sz val="10"/>
      <color rgb="FF1B4332"/>
      <name val="Arial"/>
      <charset val="1"/>
    </font>
    <font>
      <b/>
      <sz val="11"/>
      <color rgb="FF212529"/>
      <name val="Arial"/>
      <charset val="1"/>
    </font>
    <font>
      <sz val="11"/>
      <color rgb="FF212529"/>
      <name val="Arial"/>
      <charset val="1"/>
    </font>
    <font>
      <b/>
      <sz val="11"/>
      <color rgb="FFFFFFFF"/>
      <name val="Arial"/>
      <charset val="1"/>
    </font>
    <font>
      <b/>
      <sz val="10"/>
      <color rgb="FFFFFFFF"/>
      <name val="Arial"/>
      <charset val="1"/>
    </font>
    <font>
      <sz val="11"/>
      <color rgb="FF1B4332"/>
      <name val="Arial"/>
      <charset val="1"/>
    </font>
    <font>
      <b/>
      <sz val="10"/>
      <color rgb="FF2196F3"/>
      <name val="Arial"/>
      <charset val="1"/>
    </font>
    <font>
      <sz val="11"/>
      <color rgb="FF2196F3"/>
      <name val="Arial"/>
      <charset val="1"/>
    </font>
    <font>
      <b/>
      <sz val="10"/>
      <color rgb="FF7B2D8B"/>
      <name val="Arial"/>
      <charset val="1"/>
    </font>
    <font>
      <sz val="11"/>
      <color rgb="FF7B2D8B"/>
      <name val="Arial"/>
      <charset val="1"/>
    </font>
    <font>
      <b/>
      <sz val="10"/>
      <color rgb="FFE63946"/>
      <name val="Arial"/>
      <charset val="1"/>
    </font>
    <font>
      <sz val="11"/>
      <color rgb="FFE63946"/>
      <name val="Arial"/>
      <charset val="1"/>
    </font>
    <font>
      <b/>
      <sz val="10"/>
      <color rgb="FF212529"/>
      <name val="Arial"/>
      <charset val="1"/>
    </font>
    <font>
      <sz val="10"/>
      <color rgb="FF212529"/>
      <name val="Arial"/>
      <charset val="1"/>
    </font>
    <font>
      <b/>
      <sz val="15"/>
      <color rgb="FFFFFFFF"/>
      <name val="Arial"/>
      <charset val="1"/>
    </font>
    <font>
      <i/>
      <sz val="9"/>
      <color rgb="FFFFFFFF"/>
      <name val="Arial"/>
      <charset val="1"/>
    </font>
    <font>
      <b/>
      <sz val="9"/>
      <color rgb="FFFFFFFF"/>
      <name val="Arial"/>
      <charset val="1"/>
    </font>
    <font>
      <sz val="9"/>
      <color rgb="FF212529"/>
      <name val="Arial"/>
      <charset val="1"/>
    </font>
    <font>
      <b/>
      <sz val="9"/>
      <color rgb="FF1B4332"/>
      <name val="Arial"/>
      <charset val="1"/>
    </font>
    <font>
      <sz val="9"/>
      <color rgb="FF2D6A4F"/>
      <name val="Arial"/>
      <charset val="1"/>
    </font>
    <font>
      <sz val="9"/>
      <color rgb="FFE63946"/>
      <name val="Arial"/>
      <charset val="1"/>
    </font>
    <font>
      <b/>
      <sz val="9"/>
      <color rgb="FF2196F3"/>
      <name val="Arial"/>
      <charset val="1"/>
    </font>
    <font>
      <b/>
      <sz val="9"/>
      <color rgb="FF7B2D8B"/>
      <name val="Arial"/>
      <charset val="1"/>
    </font>
    <font>
      <b/>
      <sz val="9"/>
      <color rgb="FFE63946"/>
      <name val="Arial"/>
      <charset val="1"/>
    </font>
    <font>
      <b/>
      <sz val="12"/>
      <color rgb="FF1B4332"/>
      <name val="Arial"/>
      <charset val="1"/>
    </font>
    <font>
      <b/>
      <sz val="12"/>
      <color rgb="FF2196F3"/>
      <name val="Arial"/>
      <charset val="1"/>
    </font>
    <font>
      <b/>
      <sz val="12"/>
      <color rgb="FF7B2D8B"/>
      <name val="Arial"/>
      <charset val="1"/>
    </font>
    <font>
      <b/>
      <sz val="12"/>
      <color rgb="FFE63946"/>
      <name val="Arial"/>
      <charset val="1"/>
    </font>
    <font>
      <b/>
      <sz val="9"/>
      <color rgb="FF212529"/>
      <name val="Arial"/>
      <charset val="1"/>
    </font>
  </fonts>
  <fills count="17">
    <fill>
      <patternFill patternType="none"/>
    </fill>
    <fill>
      <patternFill patternType="gray125"/>
    </fill>
    <fill>
      <patternFill patternType="solid">
        <fgColor rgb="FF1B4332"/>
        <bgColor rgb="FF212529"/>
      </patternFill>
    </fill>
    <fill>
      <patternFill patternType="solid">
        <fgColor rgb="FF2D6A4F"/>
        <bgColor rgb="FF1B4332"/>
      </patternFill>
    </fill>
    <fill>
      <patternFill patternType="solid">
        <fgColor rgb="FFB7E4C7"/>
        <bgColor rgb="FFDEE2E6"/>
      </patternFill>
    </fill>
    <fill>
      <patternFill patternType="solid">
        <fgColor rgb="FFFFD166"/>
        <bgColor rgb="FFFFCC00"/>
      </patternFill>
    </fill>
    <fill>
      <patternFill patternType="solid">
        <fgColor rgb="FFFFFFFF"/>
        <bgColor rgb="FFF8F9FA"/>
      </patternFill>
    </fill>
    <fill>
      <patternFill patternType="solid">
        <fgColor rgb="FF52B788"/>
        <bgColor rgb="FF33CCCC"/>
      </patternFill>
    </fill>
    <fill>
      <patternFill patternType="solid">
        <fgColor rgb="FFDBEAFE"/>
        <bgColor rgb="FFDEE2E6"/>
      </patternFill>
    </fill>
    <fill>
      <patternFill patternType="solid">
        <fgColor rgb="FFE9D5F0"/>
        <bgColor rgb="FFDEE2E6"/>
      </patternFill>
    </fill>
    <fill>
      <patternFill patternType="solid">
        <fgColor rgb="FFFFE5E5"/>
        <bgColor rgb="FFFFF3CD"/>
      </patternFill>
    </fill>
    <fill>
      <patternFill patternType="solid">
        <fgColor rgb="FFDEE2E6"/>
        <bgColor rgb="FFDBEAFE"/>
      </patternFill>
    </fill>
    <fill>
      <patternFill patternType="solid">
        <fgColor rgb="FFF8F9FA"/>
        <bgColor rgb="FFFFFFFF"/>
      </patternFill>
    </fill>
    <fill>
      <patternFill patternType="solid">
        <fgColor rgb="FFE63946"/>
        <bgColor rgb="FFFF6600"/>
      </patternFill>
    </fill>
    <fill>
      <patternFill patternType="solid">
        <fgColor rgb="FFFFF3CD"/>
        <bgColor rgb="FFFFE5E5"/>
      </patternFill>
    </fill>
    <fill>
      <patternFill patternType="solid">
        <fgColor rgb="FFEBF5FB"/>
        <bgColor rgb="FFF8F9FA"/>
      </patternFill>
    </fill>
    <fill>
      <patternFill patternType="solid">
        <fgColor rgb="FF7B2D8B"/>
        <bgColor rgb="FF800080"/>
      </patternFill>
    </fill>
  </fills>
  <borders count="4">
    <border>
      <left/>
      <right/>
      <top/>
      <bottom/>
      <diagonal/>
    </border>
    <border>
      <left style="thin">
        <color rgb="FFDEE2E6"/>
      </left>
      <right/>
      <top style="thin">
        <color rgb="FFDEE2E6"/>
      </top>
      <bottom style="thin">
        <color rgb="FFDEE2E6"/>
      </bottom>
      <diagonal/>
    </border>
    <border>
      <left style="thin">
        <color rgb="FFDEE2E6"/>
      </left>
      <right style="thin">
        <color rgb="FFDEE2E6"/>
      </right>
      <top style="thin">
        <color rgb="FFDEE2E6"/>
      </top>
      <bottom style="thin">
        <color rgb="FFDEE2E6"/>
      </bottom>
      <diagonal/>
    </border>
    <border>
      <left/>
      <right/>
      <top style="thin">
        <color rgb="FFDEE2E6"/>
      </top>
      <bottom style="thin">
        <color rgb="FFDEE2E6"/>
      </bottom>
      <diagonal/>
    </border>
  </borders>
  <cellStyleXfs count="1">
    <xf numFmtId="0" fontId="0" fillId="0" borderId="0"/>
  </cellStyleXfs>
  <cellXfs count="103">
    <xf numFmtId="0" fontId="0" fillId="0" borderId="0" xfId="0"/>
    <xf numFmtId="14" fontId="11" fillId="8" borderId="2" xfId="0" applyNumberFormat="1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14" fontId="5" fillId="5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/>
    <xf numFmtId="0" fontId="8" fillId="2" borderId="2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center" vertical="center" wrapText="1"/>
    </xf>
    <xf numFmtId="14" fontId="21" fillId="6" borderId="2" xfId="0" applyNumberFormat="1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left" vertical="center" wrapText="1"/>
    </xf>
    <xf numFmtId="0" fontId="23" fillId="6" borderId="2" xfId="0" applyFont="1" applyFill="1" applyBorder="1" applyAlignment="1">
      <alignment horizontal="left" vertical="center" wrapText="1"/>
    </xf>
    <xf numFmtId="0" fontId="24" fillId="6" borderId="2" xfId="0" applyFont="1" applyFill="1" applyBorder="1" applyAlignment="1">
      <alignment horizontal="left" vertical="center" wrapText="1"/>
    </xf>
    <xf numFmtId="14" fontId="21" fillId="4" borderId="2" xfId="0" applyNumberFormat="1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3" fillId="4" borderId="2" xfId="0" applyFont="1" applyFill="1" applyBorder="1" applyAlignment="1">
      <alignment horizontal="left" vertical="center" wrapText="1"/>
    </xf>
    <xf numFmtId="0" fontId="24" fillId="4" borderId="2" xfId="0" applyFont="1" applyFill="1" applyBorder="1" applyAlignment="1">
      <alignment horizontal="left" vertical="center" wrapText="1"/>
    </xf>
    <xf numFmtId="0" fontId="25" fillId="8" borderId="2" xfId="0" applyFont="1" applyFill="1" applyBorder="1" applyAlignment="1">
      <alignment horizontal="center" vertical="center" wrapText="1"/>
    </xf>
    <xf numFmtId="14" fontId="21" fillId="8" borderId="2" xfId="0" applyNumberFormat="1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left" vertical="center" wrapText="1"/>
    </xf>
    <xf numFmtId="0" fontId="23" fillId="8" borderId="2" xfId="0" applyFont="1" applyFill="1" applyBorder="1" applyAlignment="1">
      <alignment horizontal="left" vertical="center" wrapText="1"/>
    </xf>
    <xf numFmtId="0" fontId="24" fillId="8" borderId="2" xfId="0" applyFont="1" applyFill="1" applyBorder="1" applyAlignment="1">
      <alignment horizontal="left" vertical="center" wrapText="1"/>
    </xf>
    <xf numFmtId="0" fontId="26" fillId="9" borderId="2" xfId="0" applyFont="1" applyFill="1" applyBorder="1" applyAlignment="1">
      <alignment horizontal="center" vertical="center" wrapText="1"/>
    </xf>
    <xf numFmtId="14" fontId="21" fillId="9" borderId="2" xfId="0" applyNumberFormat="1" applyFont="1" applyFill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left" vertical="center" wrapText="1"/>
    </xf>
    <xf numFmtId="0" fontId="23" fillId="9" borderId="2" xfId="0" applyFont="1" applyFill="1" applyBorder="1" applyAlignment="1">
      <alignment horizontal="left" vertical="center" wrapText="1"/>
    </xf>
    <xf numFmtId="0" fontId="24" fillId="9" borderId="2" xfId="0" applyFont="1" applyFill="1" applyBorder="1" applyAlignment="1">
      <alignment horizontal="left" vertical="center" wrapText="1"/>
    </xf>
    <xf numFmtId="14" fontId="21" fillId="10" borderId="2" xfId="0" applyNumberFormat="1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center" vertical="center" wrapText="1"/>
    </xf>
    <xf numFmtId="0" fontId="21" fillId="10" borderId="2" xfId="0" applyFont="1" applyFill="1" applyBorder="1" applyAlignment="1">
      <alignment horizontal="left" vertical="center" wrapText="1"/>
    </xf>
    <xf numFmtId="0" fontId="23" fillId="10" borderId="2" xfId="0" applyFont="1" applyFill="1" applyBorder="1" applyAlignment="1">
      <alignment horizontal="left" vertical="center" wrapText="1"/>
    </xf>
    <xf numFmtId="0" fontId="24" fillId="10" borderId="2" xfId="0" applyFont="1" applyFill="1" applyBorder="1" applyAlignment="1">
      <alignment horizontal="left" vertical="center" wrapText="1"/>
    </xf>
    <xf numFmtId="0" fontId="22" fillId="6" borderId="2" xfId="0" applyFont="1" applyFill="1" applyBorder="1" applyAlignment="1">
      <alignment horizontal="left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5" fillId="8" borderId="2" xfId="0" applyFont="1" applyFill="1" applyBorder="1" applyAlignment="1">
      <alignment horizontal="left" vertical="center" wrapText="1"/>
    </xf>
    <xf numFmtId="0" fontId="21" fillId="8" borderId="2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left" vertical="center" wrapText="1"/>
    </xf>
    <xf numFmtId="0" fontId="26" fillId="6" borderId="2" xfId="0" applyFont="1" applyFill="1" applyBorder="1" applyAlignment="1">
      <alignment horizontal="left" vertical="center" wrapText="1"/>
    </xf>
    <xf numFmtId="0" fontId="26" fillId="9" borderId="2" xfId="0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 wrapText="1"/>
    </xf>
    <xf numFmtId="0" fontId="21" fillId="10" borderId="2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21" fillId="12" borderId="2" xfId="0" applyFont="1" applyFill="1" applyBorder="1" applyAlignment="1">
      <alignment horizontal="left" vertical="center" wrapText="1"/>
    </xf>
    <xf numFmtId="0" fontId="32" fillId="14" borderId="2" xfId="0" applyFont="1" applyFill="1" applyBorder="1" applyAlignment="1">
      <alignment horizontal="left" vertical="center" wrapText="1"/>
    </xf>
    <xf numFmtId="0" fontId="21" fillId="14" borderId="2" xfId="0" applyFont="1" applyFill="1" applyBorder="1" applyAlignment="1">
      <alignment horizontal="left" vertical="center" wrapText="1"/>
    </xf>
    <xf numFmtId="0" fontId="0" fillId="0" borderId="3" xfId="0" applyBorder="1"/>
    <xf numFmtId="0" fontId="32" fillId="4" borderId="2" xfId="0" applyFont="1" applyFill="1" applyBorder="1" applyAlignment="1">
      <alignment horizontal="left" vertical="center" wrapText="1"/>
    </xf>
    <xf numFmtId="0" fontId="32" fillId="8" borderId="2" xfId="0" applyFont="1" applyFill="1" applyBorder="1" applyAlignment="1">
      <alignment horizontal="left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horizontal="center" vertical="center" wrapText="1"/>
    </xf>
    <xf numFmtId="0" fontId="22" fillId="10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14" fontId="13" fillId="9" borderId="2" xfId="0" applyNumberFormat="1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14" fontId="15" fillId="10" borderId="2" xfId="0" applyNumberFormat="1" applyFont="1" applyFill="1" applyBorder="1" applyAlignment="1">
      <alignment horizontal="center" vertical="center" wrapText="1"/>
    </xf>
    <xf numFmtId="0" fontId="15" fillId="10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14" fontId="6" fillId="5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left" vertical="center" wrapText="1"/>
    </xf>
    <xf numFmtId="0" fontId="17" fillId="12" borderId="2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center" vertical="center" wrapText="1"/>
    </xf>
    <xf numFmtId="0" fontId="30" fillId="9" borderId="1" xfId="0" applyFont="1" applyFill="1" applyBorder="1" applyAlignment="1">
      <alignment horizontal="center" vertical="center" wrapText="1"/>
    </xf>
    <xf numFmtId="0" fontId="31" fillId="10" borderId="1" xfId="0" applyFont="1" applyFill="1" applyBorder="1" applyAlignment="1">
      <alignment horizontal="center" vertical="center" wrapText="1"/>
    </xf>
    <xf numFmtId="0" fontId="19" fillId="13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2" fillId="15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32" fillId="10" borderId="1" xfId="0" applyFont="1" applyFill="1" applyBorder="1" applyAlignment="1">
      <alignment horizontal="left" vertical="center" wrapText="1"/>
    </xf>
    <xf numFmtId="0" fontId="21" fillId="10" borderId="1" xfId="0" applyFont="1" applyFill="1" applyBorder="1" applyAlignment="1">
      <alignment horizontal="left" vertical="center" wrapText="1"/>
    </xf>
    <xf numFmtId="0" fontId="32" fillId="14" borderId="1" xfId="0" applyFont="1" applyFill="1" applyBorder="1" applyAlignment="1">
      <alignment horizontal="left" vertical="center" wrapText="1"/>
    </xf>
    <xf numFmtId="0" fontId="21" fillId="14" borderId="1" xfId="0" applyFont="1" applyFill="1" applyBorder="1" applyAlignment="1">
      <alignment horizontal="left" vertical="center" wrapText="1"/>
    </xf>
    <xf numFmtId="0" fontId="32" fillId="12" borderId="1" xfId="0" applyFont="1" applyFill="1" applyBorder="1" applyAlignment="1">
      <alignment horizontal="left" vertical="center" wrapText="1"/>
    </xf>
    <xf numFmtId="0" fontId="21" fillId="12" borderId="1" xfId="0" applyFont="1" applyFill="1" applyBorder="1" applyAlignment="1">
      <alignment horizontal="left" vertical="center" wrapText="1"/>
    </xf>
    <xf numFmtId="0" fontId="21" fillId="15" borderId="1" xfId="0" applyFont="1" applyFill="1" applyBorder="1" applyAlignment="1">
      <alignment horizontal="left" vertical="center" wrapText="1"/>
    </xf>
    <xf numFmtId="0" fontId="19" fillId="16" borderId="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DEE2E6"/>
      <rgbColor rgb="FF808080"/>
      <rgbColor rgb="FF9999FF"/>
      <rgbColor rgb="FF7B2D8B"/>
      <rgbColor rgb="FFFFF3CD"/>
      <rgbColor rgb="FFDBEAFE"/>
      <rgbColor rgb="FF660066"/>
      <rgbColor rgb="FFFF8080"/>
      <rgbColor rgb="FF0066CC"/>
      <rgbColor rgb="FFE9D5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5FB"/>
      <rgbColor rgb="FFB7E4C7"/>
      <rgbColor rgb="FFFFE5E5"/>
      <rgbColor rgb="FFF8F9FA"/>
      <rgbColor rgb="FFFF99CC"/>
      <rgbColor rgb="FFCC99FF"/>
      <rgbColor rgb="FFFFD166"/>
      <rgbColor rgb="FF2196F3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52B788"/>
      <rgbColor rgb="FF003300"/>
      <rgbColor rgb="FF1B4332"/>
      <rgbColor rgb="FF993300"/>
      <rgbColor rgb="FFE63946"/>
      <rgbColor rgb="FF333399"/>
      <rgbColor rgb="FF21252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D6A4F"/>
  </sheetPr>
  <dimension ref="A1:K79"/>
  <sheetViews>
    <sheetView showGridLines="0" topLeftCell="A16" zoomScaleNormal="100" workbookViewId="0">
      <selection activeCell="G12" sqref="G12"/>
    </sheetView>
  </sheetViews>
  <sheetFormatPr defaultColWidth="8.6640625" defaultRowHeight="14.4" x14ac:dyDescent="0.3"/>
  <cols>
    <col min="1" max="1" width="3" style="15" customWidth="1"/>
    <col min="2" max="2" width="22" style="15" customWidth="1"/>
    <col min="3" max="3" width="18" style="15" customWidth="1"/>
    <col min="4" max="4" width="22" style="15" customWidth="1"/>
    <col min="5" max="5" width="18" style="15" customWidth="1"/>
    <col min="6" max="6" width="4" style="15" customWidth="1"/>
    <col min="7" max="7" width="22" style="15" customWidth="1"/>
    <col min="8" max="8" width="18" style="15" customWidth="1"/>
    <col min="9" max="9" width="22" style="15" customWidth="1"/>
    <col min="10" max="10" width="18" style="15" customWidth="1"/>
    <col min="11" max="11" width="3" style="15" customWidth="1"/>
  </cols>
  <sheetData>
    <row r="1" spans="2:10" ht="21.75" customHeight="1" x14ac:dyDescent="0.3"/>
    <row r="2" spans="2:10" ht="49.5" customHeight="1" x14ac:dyDescent="0.3">
      <c r="B2" s="14" t="s">
        <v>0</v>
      </c>
      <c r="C2" s="14"/>
      <c r="D2" s="14"/>
      <c r="E2" s="14"/>
      <c r="F2" s="14"/>
      <c r="G2" s="14"/>
      <c r="H2" s="14"/>
      <c r="I2" s="14"/>
      <c r="J2" s="14"/>
    </row>
    <row r="3" spans="2:10" ht="21.75" customHeight="1" x14ac:dyDescent="0.3">
      <c r="B3" s="13" t="s">
        <v>1</v>
      </c>
      <c r="C3" s="13"/>
      <c r="D3" s="13"/>
      <c r="E3" s="13"/>
      <c r="F3" s="13"/>
      <c r="G3" s="13"/>
      <c r="H3" s="13"/>
      <c r="I3" s="13"/>
      <c r="J3" s="13"/>
    </row>
    <row r="4" spans="2:10" ht="21.75" customHeight="1" x14ac:dyDescent="0.3"/>
    <row r="5" spans="2:10" ht="21.75" customHeight="1" x14ac:dyDescent="0.3">
      <c r="B5" s="12" t="s">
        <v>2</v>
      </c>
      <c r="C5" s="12"/>
      <c r="D5" s="12"/>
      <c r="E5" s="12"/>
      <c r="F5" s="12"/>
      <c r="G5" s="12"/>
      <c r="H5" s="12"/>
      <c r="I5" s="12"/>
      <c r="J5" s="12"/>
    </row>
    <row r="6" spans="2:10" ht="24" customHeight="1" x14ac:dyDescent="0.3">
      <c r="B6" s="11" t="s">
        <v>3</v>
      </c>
      <c r="C6" s="11"/>
      <c r="D6" s="10"/>
      <c r="E6" s="10"/>
      <c r="G6" s="11" t="s">
        <v>4</v>
      </c>
      <c r="H6" s="11"/>
      <c r="I6" s="9" t="s">
        <v>5</v>
      </c>
      <c r="J6" s="9"/>
    </row>
    <row r="7" spans="2:10" ht="24" customHeight="1" x14ac:dyDescent="0.3">
      <c r="B7" s="11" t="s">
        <v>6</v>
      </c>
      <c r="C7" s="11"/>
      <c r="D7" s="9"/>
      <c r="E7" s="9"/>
      <c r="G7" s="11" t="s">
        <v>7</v>
      </c>
      <c r="H7" s="11"/>
      <c r="I7" s="9" t="s">
        <v>8</v>
      </c>
      <c r="J7" s="9"/>
    </row>
    <row r="8" spans="2:10" ht="24" customHeight="1" x14ac:dyDescent="0.3">
      <c r="B8" s="11" t="s">
        <v>9</v>
      </c>
      <c r="C8" s="11"/>
      <c r="D8" s="9" t="s">
        <v>10</v>
      </c>
      <c r="E8" s="9"/>
      <c r="G8" s="11" t="s">
        <v>11</v>
      </c>
      <c r="H8" s="11"/>
      <c r="I8" s="9" t="s">
        <v>12</v>
      </c>
      <c r="J8" s="9"/>
    </row>
    <row r="9" spans="2:10" ht="24" customHeight="1" x14ac:dyDescent="0.3">
      <c r="B9" s="11" t="s">
        <v>13</v>
      </c>
      <c r="C9" s="11"/>
      <c r="D9" s="9" t="s">
        <v>14</v>
      </c>
      <c r="E9" s="9"/>
      <c r="G9" s="11" t="s">
        <v>15</v>
      </c>
      <c r="H9" s="11"/>
      <c r="I9" s="9" t="s">
        <v>16</v>
      </c>
      <c r="J9" s="9"/>
    </row>
    <row r="10" spans="2:10" ht="24" customHeight="1" x14ac:dyDescent="0.3">
      <c r="B10" s="11" t="s">
        <v>17</v>
      </c>
      <c r="C10" s="11"/>
      <c r="D10" s="9" t="s">
        <v>18</v>
      </c>
      <c r="E10" s="9"/>
      <c r="G10" s="11" t="s">
        <v>19</v>
      </c>
      <c r="H10" s="11"/>
      <c r="I10" s="8">
        <f>I6+I7+I8+I9</f>
        <v>126</v>
      </c>
      <c r="J10" s="8"/>
    </row>
    <row r="11" spans="2:10" ht="24" customHeight="1" x14ac:dyDescent="0.3">
      <c r="B11" s="11" t="s">
        <v>20</v>
      </c>
      <c r="C11" s="11"/>
      <c r="D11" s="9" t="s">
        <v>21</v>
      </c>
      <c r="E11" s="9"/>
    </row>
    <row r="12" spans="2:10" ht="24" customHeight="1" x14ac:dyDescent="0.3">
      <c r="B12" s="11" t="s">
        <v>22</v>
      </c>
      <c r="C12" s="11"/>
      <c r="D12" s="9" t="s">
        <v>23</v>
      </c>
      <c r="E12" s="9"/>
    </row>
    <row r="13" spans="2:10" ht="24" customHeight="1" x14ac:dyDescent="0.3">
      <c r="B13" s="11" t="s">
        <v>24</v>
      </c>
      <c r="C13" s="11"/>
      <c r="D13" s="9" t="s">
        <v>25</v>
      </c>
      <c r="E13" s="9"/>
    </row>
    <row r="14" spans="2:10" ht="24" customHeight="1" x14ac:dyDescent="0.3">
      <c r="B14" s="11" t="s">
        <v>26</v>
      </c>
      <c r="C14" s="11"/>
      <c r="D14" s="9" t="s">
        <v>27</v>
      </c>
      <c r="E14" s="9"/>
    </row>
    <row r="15" spans="2:10" ht="24" customHeight="1" x14ac:dyDescent="0.3">
      <c r="B15" s="11" t="s">
        <v>28</v>
      </c>
      <c r="C15" s="11"/>
      <c r="D15" s="9" t="s">
        <v>29</v>
      </c>
      <c r="E15" s="9"/>
    </row>
    <row r="16" spans="2:10" ht="21.75" customHeight="1" x14ac:dyDescent="0.3"/>
    <row r="17" spans="2:10" ht="25.5" customHeight="1" x14ac:dyDescent="0.3">
      <c r="B17" s="7" t="s">
        <v>30</v>
      </c>
      <c r="C17" s="7"/>
      <c r="D17" s="7"/>
      <c r="E17" s="7"/>
      <c r="F17" s="7"/>
      <c r="G17" s="7"/>
      <c r="H17" s="7"/>
      <c r="I17" s="7"/>
      <c r="J17" s="7"/>
    </row>
    <row r="18" spans="2:10" ht="21.75" customHeight="1" x14ac:dyDescent="0.3">
      <c r="B18" s="6" t="s">
        <v>31</v>
      </c>
      <c r="C18" s="6"/>
      <c r="D18" s="6" t="s">
        <v>32</v>
      </c>
      <c r="E18" s="6"/>
      <c r="F18" s="6" t="s">
        <v>33</v>
      </c>
      <c r="G18" s="6"/>
      <c r="H18" s="6" t="s">
        <v>34</v>
      </c>
      <c r="I18" s="6"/>
    </row>
    <row r="19" spans="2:10" ht="25.5" customHeight="1" x14ac:dyDescent="0.3">
      <c r="B19" s="5" t="s">
        <v>35</v>
      </c>
      <c r="C19" s="5"/>
      <c r="D19" s="4">
        <f>D6</f>
        <v>0</v>
      </c>
      <c r="E19" s="4"/>
      <c r="F19" s="4">
        <f>D6+I6-1</f>
        <v>13</v>
      </c>
      <c r="G19" s="4"/>
      <c r="H19" s="3" t="str">
        <f>I6&amp;" dias"</f>
        <v>14 dias</v>
      </c>
      <c r="I19" s="3"/>
    </row>
    <row r="20" spans="2:10" ht="25.5" customHeight="1" x14ac:dyDescent="0.3">
      <c r="B20" s="2" t="s">
        <v>36</v>
      </c>
      <c r="C20" s="2"/>
      <c r="D20" s="1">
        <f>D6+I6</f>
        <v>14</v>
      </c>
      <c r="E20" s="1"/>
      <c r="F20" s="1">
        <f>D6+I6+I7-1</f>
        <v>55</v>
      </c>
      <c r="G20" s="1"/>
      <c r="H20" s="69" t="str">
        <f>I7&amp;" dias"</f>
        <v>42 dias</v>
      </c>
      <c r="I20" s="69"/>
    </row>
    <row r="21" spans="2:10" ht="25.5" customHeight="1" x14ac:dyDescent="0.3">
      <c r="B21" s="70" t="s">
        <v>37</v>
      </c>
      <c r="C21" s="70"/>
      <c r="D21" s="71">
        <f>D6+I6+I7</f>
        <v>56</v>
      </c>
      <c r="E21" s="71"/>
      <c r="F21" s="71">
        <f>D6+I6+I7+I8-1</f>
        <v>118</v>
      </c>
      <c r="G21" s="71"/>
      <c r="H21" s="72" t="str">
        <f>I8&amp;" dias"</f>
        <v>63 dias</v>
      </c>
      <c r="I21" s="72"/>
    </row>
    <row r="22" spans="2:10" ht="25.5" customHeight="1" x14ac:dyDescent="0.3">
      <c r="B22" s="73" t="s">
        <v>38</v>
      </c>
      <c r="C22" s="73"/>
      <c r="D22" s="74">
        <f>D6+I6+I7+I8</f>
        <v>119</v>
      </c>
      <c r="E22" s="74"/>
      <c r="F22" s="74">
        <f>D6+I6+I7+I8+I9-1</f>
        <v>125</v>
      </c>
      <c r="G22" s="74"/>
      <c r="H22" s="75" t="str">
        <f>I9&amp;" dias"</f>
        <v>7 dias</v>
      </c>
      <c r="I22" s="75"/>
    </row>
    <row r="23" spans="2:10" ht="25.5" customHeight="1" x14ac:dyDescent="0.3">
      <c r="B23" s="76" t="s">
        <v>39</v>
      </c>
      <c r="C23" s="76"/>
      <c r="D23" s="77">
        <f>D6+I10</f>
        <v>126</v>
      </c>
      <c r="E23" s="77"/>
      <c r="F23" s="77">
        <f>D6+I10</f>
        <v>126</v>
      </c>
      <c r="G23" s="77"/>
      <c r="H23" s="78" t="s">
        <v>40</v>
      </c>
      <c r="I23" s="78"/>
    </row>
    <row r="24" spans="2:10" ht="21.75" customHeight="1" x14ac:dyDescent="0.3"/>
    <row r="25" spans="2:10" ht="21.75" customHeight="1" x14ac:dyDescent="0.3">
      <c r="B25" s="79" t="s">
        <v>41</v>
      </c>
      <c r="C25" s="79"/>
      <c r="D25" s="79"/>
      <c r="E25" s="79"/>
      <c r="F25" s="79"/>
      <c r="G25" s="79"/>
      <c r="H25" s="79"/>
      <c r="I25" s="79"/>
      <c r="J25" s="79"/>
    </row>
    <row r="26" spans="2:10" ht="21.75" customHeight="1" x14ac:dyDescent="0.3">
      <c r="B26" s="80" t="s">
        <v>42</v>
      </c>
      <c r="C26" s="80"/>
      <c r="D26" s="81" t="s">
        <v>43</v>
      </c>
      <c r="E26" s="81"/>
      <c r="F26" s="81"/>
      <c r="G26" s="81"/>
      <c r="H26" s="81"/>
      <c r="I26" s="81"/>
      <c r="J26" s="81"/>
    </row>
    <row r="27" spans="2:10" ht="21.75" customHeight="1" x14ac:dyDescent="0.3">
      <c r="B27" s="80" t="s">
        <v>44</v>
      </c>
      <c r="C27" s="80"/>
      <c r="D27" s="81" t="s">
        <v>45</v>
      </c>
      <c r="E27" s="81"/>
      <c r="F27" s="81"/>
      <c r="G27" s="81"/>
      <c r="H27" s="81"/>
      <c r="I27" s="81"/>
      <c r="J27" s="81"/>
    </row>
    <row r="28" spans="2:10" ht="21.75" customHeight="1" x14ac:dyDescent="0.3">
      <c r="B28" s="80" t="s">
        <v>46</v>
      </c>
      <c r="C28" s="80"/>
      <c r="D28" s="81" t="s">
        <v>47</v>
      </c>
      <c r="E28" s="81"/>
      <c r="F28" s="81"/>
      <c r="G28" s="81"/>
      <c r="H28" s="81"/>
      <c r="I28" s="81"/>
      <c r="J28" s="81"/>
    </row>
    <row r="29" spans="2:10" ht="21.75" customHeight="1" x14ac:dyDescent="0.3">
      <c r="B29" s="80" t="s">
        <v>48</v>
      </c>
      <c r="C29" s="80"/>
      <c r="D29" s="81" t="s">
        <v>49</v>
      </c>
      <c r="E29" s="81"/>
      <c r="F29" s="81"/>
      <c r="G29" s="81"/>
      <c r="H29" s="81"/>
      <c r="I29" s="81"/>
      <c r="J29" s="81"/>
    </row>
    <row r="30" spans="2:10" ht="21.75" customHeight="1" x14ac:dyDescent="0.3">
      <c r="B30" s="80" t="s">
        <v>50</v>
      </c>
      <c r="C30" s="80"/>
      <c r="D30" s="81" t="s">
        <v>51</v>
      </c>
      <c r="E30" s="81"/>
      <c r="F30" s="81"/>
      <c r="G30" s="81"/>
      <c r="H30" s="81"/>
      <c r="I30" s="81"/>
      <c r="J30" s="81"/>
    </row>
    <row r="31" spans="2:10" ht="21.75" customHeight="1" x14ac:dyDescent="0.3">
      <c r="B31" s="80" t="s">
        <v>52</v>
      </c>
      <c r="C31" s="80"/>
      <c r="D31" s="81" t="s">
        <v>53</v>
      </c>
      <c r="E31" s="81"/>
      <c r="F31" s="81"/>
      <c r="G31" s="81"/>
      <c r="H31" s="81"/>
      <c r="I31" s="81"/>
      <c r="J31" s="81"/>
    </row>
    <row r="32" spans="2:10" ht="21.75" customHeight="1" x14ac:dyDescent="0.3">
      <c r="B32" s="80" t="s">
        <v>54</v>
      </c>
      <c r="C32" s="80"/>
      <c r="D32" s="81" t="s">
        <v>55</v>
      </c>
      <c r="E32" s="81"/>
      <c r="F32" s="81"/>
      <c r="G32" s="81"/>
      <c r="H32" s="81"/>
      <c r="I32" s="81"/>
      <c r="J32" s="81"/>
    </row>
    <row r="33" spans="2:10" ht="21.75" customHeight="1" x14ac:dyDescent="0.3">
      <c r="B33" s="80" t="s">
        <v>56</v>
      </c>
      <c r="C33" s="80"/>
      <c r="D33" s="81" t="s">
        <v>57</v>
      </c>
      <c r="E33" s="81"/>
      <c r="F33" s="81"/>
      <c r="G33" s="81"/>
      <c r="H33" s="81"/>
      <c r="I33" s="81"/>
      <c r="J33" s="81"/>
    </row>
    <row r="34" spans="2:10" ht="21.75" customHeight="1" x14ac:dyDescent="0.3">
      <c r="B34" s="80" t="s">
        <v>58</v>
      </c>
      <c r="C34" s="80"/>
      <c r="D34" s="81" t="s">
        <v>59</v>
      </c>
      <c r="E34" s="81"/>
      <c r="F34" s="81"/>
      <c r="G34" s="81"/>
      <c r="H34" s="81"/>
      <c r="I34" s="81"/>
      <c r="J34" s="81"/>
    </row>
    <row r="35" spans="2:10" ht="21.75" customHeight="1" x14ac:dyDescent="0.3"/>
    <row r="36" spans="2:10" ht="21.75" customHeight="1" x14ac:dyDescent="0.3"/>
    <row r="37" spans="2:10" ht="21.75" customHeight="1" x14ac:dyDescent="0.3"/>
    <row r="38" spans="2:10" ht="21.75" customHeight="1" x14ac:dyDescent="0.3"/>
    <row r="39" spans="2:10" ht="21.75" customHeight="1" x14ac:dyDescent="0.3"/>
    <row r="40" spans="2:10" ht="21.75" customHeight="1" x14ac:dyDescent="0.3"/>
    <row r="41" spans="2:10" ht="21.75" customHeight="1" x14ac:dyDescent="0.3"/>
    <row r="42" spans="2:10" ht="21.75" customHeight="1" x14ac:dyDescent="0.3"/>
    <row r="43" spans="2:10" ht="21.75" customHeight="1" x14ac:dyDescent="0.3"/>
    <row r="44" spans="2:10" ht="21.75" customHeight="1" x14ac:dyDescent="0.3"/>
    <row r="45" spans="2:10" ht="21.75" customHeight="1" x14ac:dyDescent="0.3"/>
    <row r="46" spans="2:10" ht="21.75" customHeight="1" x14ac:dyDescent="0.3"/>
    <row r="47" spans="2:10" ht="21.75" customHeight="1" x14ac:dyDescent="0.3"/>
    <row r="48" spans="2:10" ht="21.75" customHeight="1" x14ac:dyDescent="0.3"/>
    <row r="49" ht="21.75" customHeight="1" x14ac:dyDescent="0.3"/>
    <row r="50" ht="21.75" customHeight="1" x14ac:dyDescent="0.3"/>
    <row r="51" ht="21.75" customHeight="1" x14ac:dyDescent="0.3"/>
    <row r="52" ht="21.75" customHeight="1" x14ac:dyDescent="0.3"/>
    <row r="53" ht="21.75" customHeight="1" x14ac:dyDescent="0.3"/>
    <row r="54" ht="21.75" customHeight="1" x14ac:dyDescent="0.3"/>
    <row r="55" ht="21.75" customHeight="1" x14ac:dyDescent="0.3"/>
    <row r="56" ht="21.75" customHeight="1" x14ac:dyDescent="0.3"/>
    <row r="57" ht="21.75" customHeight="1" x14ac:dyDescent="0.3"/>
    <row r="58" ht="21.75" customHeight="1" x14ac:dyDescent="0.3"/>
    <row r="59" ht="21.75" customHeight="1" x14ac:dyDescent="0.3"/>
    <row r="60" ht="21.75" customHeight="1" x14ac:dyDescent="0.3"/>
    <row r="61" ht="21.75" customHeight="1" x14ac:dyDescent="0.3"/>
    <row r="62" ht="21.75" customHeight="1" x14ac:dyDescent="0.3"/>
    <row r="63" ht="21.75" customHeight="1" x14ac:dyDescent="0.3"/>
    <row r="64" ht="21.75" customHeight="1" x14ac:dyDescent="0.3"/>
    <row r="65" ht="21.75" customHeight="1" x14ac:dyDescent="0.3"/>
    <row r="66" ht="21.75" customHeight="1" x14ac:dyDescent="0.3"/>
    <row r="67" ht="21.75" customHeight="1" x14ac:dyDescent="0.3"/>
    <row r="68" ht="21.75" customHeight="1" x14ac:dyDescent="0.3"/>
    <row r="69" ht="21.75" customHeight="1" x14ac:dyDescent="0.3"/>
    <row r="70" ht="21.75" customHeight="1" x14ac:dyDescent="0.3"/>
    <row r="71" ht="21.75" customHeight="1" x14ac:dyDescent="0.3"/>
    <row r="72" ht="21.75" customHeight="1" x14ac:dyDescent="0.3"/>
    <row r="73" ht="21.75" customHeight="1" x14ac:dyDescent="0.3"/>
    <row r="74" ht="21.75" customHeight="1" x14ac:dyDescent="0.3"/>
    <row r="75" ht="21.75" customHeight="1" x14ac:dyDescent="0.3"/>
    <row r="76" ht="21.75" customHeight="1" x14ac:dyDescent="0.3"/>
    <row r="77" ht="21.75" customHeight="1" x14ac:dyDescent="0.3"/>
    <row r="78" ht="21.75" customHeight="1" x14ac:dyDescent="0.3"/>
    <row r="79" ht="21.75" customHeight="1" x14ac:dyDescent="0.3"/>
  </sheetData>
  <mergeCells count="77">
    <mergeCell ref="B34:C34"/>
    <mergeCell ref="D34:J34"/>
    <mergeCell ref="B31:C31"/>
    <mergeCell ref="D31:J31"/>
    <mergeCell ref="B32:C32"/>
    <mergeCell ref="D32:J32"/>
    <mergeCell ref="B33:C33"/>
    <mergeCell ref="D33:J33"/>
    <mergeCell ref="B28:C28"/>
    <mergeCell ref="D28:J28"/>
    <mergeCell ref="B29:C29"/>
    <mergeCell ref="D29:J29"/>
    <mergeCell ref="B30:C30"/>
    <mergeCell ref="D30:J30"/>
    <mergeCell ref="B25:J25"/>
    <mergeCell ref="B26:C26"/>
    <mergeCell ref="D26:J26"/>
    <mergeCell ref="B27:C27"/>
    <mergeCell ref="D27:J27"/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14:C14"/>
    <mergeCell ref="D14:E14"/>
    <mergeCell ref="B15:C15"/>
    <mergeCell ref="D15:E15"/>
    <mergeCell ref="B17:J17"/>
    <mergeCell ref="B11:C11"/>
    <mergeCell ref="D11:E11"/>
    <mergeCell ref="B12:C12"/>
    <mergeCell ref="D12:E12"/>
    <mergeCell ref="B13:C13"/>
    <mergeCell ref="D13:E13"/>
    <mergeCell ref="B9:C9"/>
    <mergeCell ref="D9:E9"/>
    <mergeCell ref="G9:H9"/>
    <mergeCell ref="I9:J9"/>
    <mergeCell ref="B10:C10"/>
    <mergeCell ref="D10:E10"/>
    <mergeCell ref="G10:H10"/>
    <mergeCell ref="I10:J10"/>
    <mergeCell ref="B7:C7"/>
    <mergeCell ref="D7:E7"/>
    <mergeCell ref="G7:H7"/>
    <mergeCell ref="I7:J7"/>
    <mergeCell ref="B8:C8"/>
    <mergeCell ref="D8:E8"/>
    <mergeCell ref="G8:H8"/>
    <mergeCell ref="I8:J8"/>
    <mergeCell ref="B2:J2"/>
    <mergeCell ref="B3:J3"/>
    <mergeCell ref="B5:J5"/>
    <mergeCell ref="B6:C6"/>
    <mergeCell ref="D6:E6"/>
    <mergeCell ref="G6:H6"/>
    <mergeCell ref="I6:J6"/>
  </mergeCells>
  <dataValidations count="1">
    <dataValidation type="list" allowBlank="1" sqref="D8">
      <formula1>"Indoor LED,Indoor HPS,Indoor CMH,Indoor Misto"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196F3"/>
  </sheetPr>
  <dimension ref="A2:J130"/>
  <sheetViews>
    <sheetView showGridLines="0" tabSelected="1" zoomScaleNormal="100" workbookViewId="0">
      <selection activeCell="G96" sqref="G96"/>
    </sheetView>
  </sheetViews>
  <sheetFormatPr defaultColWidth="8.6640625" defaultRowHeight="14.4" x14ac:dyDescent="0.3"/>
  <cols>
    <col min="1" max="1" width="3" style="15" customWidth="1"/>
    <col min="2" max="2" width="3.77734375" style="15" bestFit="1" customWidth="1"/>
    <col min="3" max="3" width="8.77734375" style="15" bestFit="1" customWidth="1"/>
    <col min="4" max="4" width="9.21875" style="15" bestFit="1" customWidth="1"/>
    <col min="5" max="5" width="7.88671875" style="15" bestFit="1" customWidth="1"/>
    <col min="6" max="6" width="30.6640625" style="15" bestFit="1" customWidth="1"/>
    <col min="7" max="7" width="43.5546875" style="15" bestFit="1" customWidth="1"/>
    <col min="8" max="8" width="44.5546875" style="15" bestFit="1" customWidth="1"/>
    <col min="9" max="9" width="46.5546875" style="15" bestFit="1" customWidth="1"/>
    <col min="10" max="10" width="3" style="15" customWidth="1"/>
  </cols>
  <sheetData>
    <row r="2" spans="2:9" ht="45" customHeight="1" x14ac:dyDescent="0.3">
      <c r="B2" s="82" t="s">
        <v>60</v>
      </c>
      <c r="C2" s="82"/>
      <c r="D2" s="82"/>
      <c r="E2" s="82"/>
      <c r="F2" s="82"/>
      <c r="G2" s="82"/>
      <c r="H2" s="82"/>
      <c r="I2" s="82"/>
    </row>
    <row r="3" spans="2:9" ht="18" customHeight="1" x14ac:dyDescent="0.3">
      <c r="B3" s="83" t="s">
        <v>61</v>
      </c>
      <c r="C3" s="83"/>
      <c r="D3" s="83"/>
      <c r="E3" s="83"/>
      <c r="F3" s="83"/>
      <c r="G3" s="83"/>
      <c r="H3" s="83"/>
      <c r="I3" s="83"/>
    </row>
    <row r="5" spans="2:9" ht="30" customHeight="1" x14ac:dyDescent="0.3">
      <c r="B5" s="16" t="s">
        <v>62</v>
      </c>
      <c r="C5" s="16" t="s">
        <v>63</v>
      </c>
      <c r="D5" s="16" t="s">
        <v>31</v>
      </c>
      <c r="E5" s="16" t="s">
        <v>64</v>
      </c>
      <c r="F5" s="16" t="s">
        <v>65</v>
      </c>
      <c r="G5" s="16" t="s">
        <v>66</v>
      </c>
      <c r="H5" s="16" t="s">
        <v>67</v>
      </c>
      <c r="I5" s="16" t="s">
        <v>68</v>
      </c>
    </row>
    <row r="6" spans="2:9" ht="19.5" customHeight="1" x14ac:dyDescent="0.3">
      <c r="B6" s="18" t="s">
        <v>69</v>
      </c>
      <c r="C6" s="19">
        <f>'🌱 Configuração'!D6+0</f>
        <v>0</v>
      </c>
      <c r="D6" s="20" t="s">
        <v>70</v>
      </c>
      <c r="E6" s="21" t="s">
        <v>71</v>
      </c>
      <c r="F6" s="22"/>
      <c r="G6" s="23"/>
      <c r="H6" s="21" t="s">
        <v>72</v>
      </c>
      <c r="I6" s="21"/>
    </row>
    <row r="7" spans="2:9" ht="19.5" customHeight="1" x14ac:dyDescent="0.3">
      <c r="B7" s="18" t="s">
        <v>73</v>
      </c>
      <c r="C7" s="24">
        <f>'🌱 Configuração'!D6+1</f>
        <v>1</v>
      </c>
      <c r="D7" s="20" t="s">
        <v>70</v>
      </c>
      <c r="E7" s="25" t="s">
        <v>71</v>
      </c>
      <c r="F7" s="26"/>
      <c r="G7" s="27" t="s">
        <v>74</v>
      </c>
      <c r="H7" s="25"/>
      <c r="I7" s="25"/>
    </row>
    <row r="8" spans="2:9" ht="19.5" customHeight="1" x14ac:dyDescent="0.3">
      <c r="B8" s="18" t="s">
        <v>75</v>
      </c>
      <c r="C8" s="19">
        <f>'🌱 Configuração'!D6+2</f>
        <v>2</v>
      </c>
      <c r="D8" s="20" t="s">
        <v>70</v>
      </c>
      <c r="E8" s="21" t="s">
        <v>71</v>
      </c>
      <c r="F8" s="22" t="s">
        <v>76</v>
      </c>
      <c r="G8" s="23"/>
      <c r="H8" s="21" t="s">
        <v>77</v>
      </c>
      <c r="I8" s="21"/>
    </row>
    <row r="9" spans="2:9" ht="19.5" customHeight="1" x14ac:dyDescent="0.3">
      <c r="B9" s="18" t="s">
        <v>23</v>
      </c>
      <c r="C9" s="24">
        <f>'🌱 Configuração'!D6+3</f>
        <v>3</v>
      </c>
      <c r="D9" s="20" t="s">
        <v>70</v>
      </c>
      <c r="E9" s="25" t="s">
        <v>71</v>
      </c>
      <c r="F9" s="26"/>
      <c r="G9" s="27"/>
      <c r="H9" s="25"/>
      <c r="I9" s="25"/>
    </row>
    <row r="10" spans="2:9" ht="19.5" customHeight="1" x14ac:dyDescent="0.3">
      <c r="B10" s="18" t="s">
        <v>78</v>
      </c>
      <c r="C10" s="19">
        <f>'🌱 Configuração'!D6+4</f>
        <v>4</v>
      </c>
      <c r="D10" s="20" t="s">
        <v>70</v>
      </c>
      <c r="E10" s="21" t="s">
        <v>71</v>
      </c>
      <c r="F10" s="22"/>
      <c r="G10" s="23"/>
      <c r="H10" s="21"/>
      <c r="I10" s="21"/>
    </row>
    <row r="11" spans="2:9" ht="19.5" customHeight="1" x14ac:dyDescent="0.3">
      <c r="B11" s="18" t="s">
        <v>79</v>
      </c>
      <c r="C11" s="24">
        <f>'🌱 Configuração'!D6+5</f>
        <v>5</v>
      </c>
      <c r="D11" s="20" t="s">
        <v>70</v>
      </c>
      <c r="E11" s="25" t="s">
        <v>71</v>
      </c>
      <c r="F11" s="26"/>
      <c r="G11" s="27"/>
      <c r="H11" s="25"/>
      <c r="I11" s="25"/>
    </row>
    <row r="12" spans="2:9" ht="19.5" customHeight="1" x14ac:dyDescent="0.3">
      <c r="B12" s="18" t="s">
        <v>16</v>
      </c>
      <c r="C12" s="19">
        <f>'🌱 Configuração'!D6+6</f>
        <v>6</v>
      </c>
      <c r="D12" s="20" t="s">
        <v>70</v>
      </c>
      <c r="E12" s="21" t="s">
        <v>71</v>
      </c>
      <c r="F12" s="22" t="s">
        <v>76</v>
      </c>
      <c r="G12" s="23"/>
      <c r="H12" s="21" t="s">
        <v>80</v>
      </c>
      <c r="I12" s="21" t="s">
        <v>81</v>
      </c>
    </row>
    <row r="13" spans="2:9" ht="19.5" customHeight="1" x14ac:dyDescent="0.3">
      <c r="B13" s="18" t="s">
        <v>82</v>
      </c>
      <c r="C13" s="24">
        <f>'🌱 Configuração'!D6+7</f>
        <v>7</v>
      </c>
      <c r="D13" s="20" t="s">
        <v>70</v>
      </c>
      <c r="E13" s="25" t="s">
        <v>83</v>
      </c>
      <c r="F13" s="26"/>
      <c r="G13" s="27"/>
      <c r="H13" s="25"/>
      <c r="I13" s="25"/>
    </row>
    <row r="14" spans="2:9" ht="19.5" customHeight="1" x14ac:dyDescent="0.3">
      <c r="B14" s="18" t="s">
        <v>84</v>
      </c>
      <c r="C14" s="19">
        <f>'🌱 Configuração'!D6+8</f>
        <v>8</v>
      </c>
      <c r="D14" s="20" t="s">
        <v>70</v>
      </c>
      <c r="E14" s="21" t="s">
        <v>83</v>
      </c>
      <c r="F14" s="22"/>
      <c r="G14" s="23" t="s">
        <v>85</v>
      </c>
      <c r="H14" s="21"/>
      <c r="I14" s="21"/>
    </row>
    <row r="15" spans="2:9" ht="19.5" customHeight="1" x14ac:dyDescent="0.3">
      <c r="B15" s="18" t="s">
        <v>86</v>
      </c>
      <c r="C15" s="24">
        <f>'🌱 Configuração'!D6+9</f>
        <v>9</v>
      </c>
      <c r="D15" s="20" t="s">
        <v>70</v>
      </c>
      <c r="E15" s="25" t="s">
        <v>83</v>
      </c>
      <c r="F15" s="26"/>
      <c r="G15" s="27"/>
      <c r="H15" s="25"/>
      <c r="I15" s="25"/>
    </row>
    <row r="16" spans="2:9" ht="19.5" customHeight="1" x14ac:dyDescent="0.3">
      <c r="B16" s="18" t="s">
        <v>87</v>
      </c>
      <c r="C16" s="19">
        <f>'🌱 Configuração'!D6+10</f>
        <v>10</v>
      </c>
      <c r="D16" s="20" t="s">
        <v>70</v>
      </c>
      <c r="E16" s="21" t="s">
        <v>83</v>
      </c>
      <c r="F16" s="22"/>
      <c r="G16" s="23"/>
      <c r="H16" s="21"/>
      <c r="I16" s="21"/>
    </row>
    <row r="17" spans="2:9" ht="19.5" customHeight="1" x14ac:dyDescent="0.3">
      <c r="B17" s="18" t="s">
        <v>21</v>
      </c>
      <c r="C17" s="24">
        <f>'🌱 Configuração'!D6+11</f>
        <v>11</v>
      </c>
      <c r="D17" s="20" t="s">
        <v>70</v>
      </c>
      <c r="E17" s="25" t="s">
        <v>83</v>
      </c>
      <c r="F17" s="26" t="s">
        <v>88</v>
      </c>
      <c r="G17" s="27"/>
      <c r="H17" s="25"/>
      <c r="I17" s="25"/>
    </row>
    <row r="18" spans="2:9" ht="19.5" customHeight="1" x14ac:dyDescent="0.3">
      <c r="B18" s="18" t="s">
        <v>89</v>
      </c>
      <c r="C18" s="19">
        <f>'🌱 Configuração'!D6+12</f>
        <v>12</v>
      </c>
      <c r="D18" s="20" t="s">
        <v>70</v>
      </c>
      <c r="E18" s="21" t="s">
        <v>83</v>
      </c>
      <c r="F18" s="22"/>
      <c r="G18" s="23"/>
      <c r="H18" s="21"/>
      <c r="I18" s="21"/>
    </row>
    <row r="19" spans="2:9" ht="19.5" customHeight="1" x14ac:dyDescent="0.3">
      <c r="B19" s="18" t="s">
        <v>5</v>
      </c>
      <c r="C19" s="24">
        <f>'🌱 Configuração'!D6+13</f>
        <v>13</v>
      </c>
      <c r="D19" s="20" t="s">
        <v>70</v>
      </c>
      <c r="E19" s="25" t="s">
        <v>83</v>
      </c>
      <c r="F19" s="26"/>
      <c r="G19" s="27" t="s">
        <v>90</v>
      </c>
      <c r="H19" s="25" t="s">
        <v>91</v>
      </c>
      <c r="I19" s="25" t="s">
        <v>92</v>
      </c>
    </row>
    <row r="20" spans="2:9" ht="19.5" customHeight="1" x14ac:dyDescent="0.3">
      <c r="B20" s="18" t="s">
        <v>93</v>
      </c>
      <c r="C20" s="19">
        <f>'🌱 Configuração'!D6+14</f>
        <v>14</v>
      </c>
      <c r="D20" s="28" t="s">
        <v>94</v>
      </c>
      <c r="E20" s="21" t="s">
        <v>95</v>
      </c>
      <c r="F20" s="22"/>
      <c r="G20" s="23"/>
      <c r="H20" s="21" t="s">
        <v>96</v>
      </c>
      <c r="I20" s="21"/>
    </row>
    <row r="21" spans="2:9" ht="19.5" customHeight="1" x14ac:dyDescent="0.3">
      <c r="B21" s="18" t="s">
        <v>97</v>
      </c>
      <c r="C21" s="29">
        <f>'🌱 Configuração'!D6+15</f>
        <v>15</v>
      </c>
      <c r="D21" s="28" t="s">
        <v>94</v>
      </c>
      <c r="E21" s="30" t="s">
        <v>95</v>
      </c>
      <c r="F21" s="31" t="s">
        <v>98</v>
      </c>
      <c r="G21" s="32"/>
      <c r="H21" s="30" t="s">
        <v>99</v>
      </c>
      <c r="I21" s="30"/>
    </row>
    <row r="22" spans="2:9" ht="19.5" customHeight="1" x14ac:dyDescent="0.3">
      <c r="B22" s="18" t="s">
        <v>100</v>
      </c>
      <c r="C22" s="19">
        <f>'🌱 Configuração'!D6+16</f>
        <v>16</v>
      </c>
      <c r="D22" s="28" t="s">
        <v>94</v>
      </c>
      <c r="E22" s="21" t="s">
        <v>95</v>
      </c>
      <c r="F22" s="22"/>
      <c r="G22" s="23"/>
      <c r="H22" s="21"/>
      <c r="I22" s="21"/>
    </row>
    <row r="23" spans="2:9" ht="19.5" customHeight="1" x14ac:dyDescent="0.3">
      <c r="B23" s="18" t="s">
        <v>18</v>
      </c>
      <c r="C23" s="29">
        <f>'🌱 Configuração'!D6+17</f>
        <v>17</v>
      </c>
      <c r="D23" s="28" t="s">
        <v>94</v>
      </c>
      <c r="E23" s="30" t="s">
        <v>95</v>
      </c>
      <c r="F23" s="31"/>
      <c r="G23" s="32"/>
      <c r="H23" s="30"/>
      <c r="I23" s="30"/>
    </row>
    <row r="24" spans="2:9" ht="19.5" customHeight="1" x14ac:dyDescent="0.3">
      <c r="B24" s="18" t="s">
        <v>101</v>
      </c>
      <c r="C24" s="19">
        <f>'🌱 Configuração'!D6+18</f>
        <v>18</v>
      </c>
      <c r="D24" s="28" t="s">
        <v>94</v>
      </c>
      <c r="E24" s="21" t="s">
        <v>95</v>
      </c>
      <c r="F24" s="22"/>
      <c r="G24" s="23"/>
      <c r="H24" s="21"/>
      <c r="I24" s="21"/>
    </row>
    <row r="25" spans="2:9" ht="19.5" customHeight="1" x14ac:dyDescent="0.3">
      <c r="B25" s="18" t="s">
        <v>102</v>
      </c>
      <c r="C25" s="29">
        <f>'🌱 Configuração'!D6+19</f>
        <v>19</v>
      </c>
      <c r="D25" s="28" t="s">
        <v>94</v>
      </c>
      <c r="E25" s="30" t="s">
        <v>95</v>
      </c>
      <c r="F25" s="31"/>
      <c r="G25" s="32"/>
      <c r="H25" s="30"/>
      <c r="I25" s="30"/>
    </row>
    <row r="26" spans="2:9" ht="19.5" customHeight="1" x14ac:dyDescent="0.3">
      <c r="B26" s="18" t="s">
        <v>103</v>
      </c>
      <c r="C26" s="19">
        <f>'🌱 Configuração'!D6+20</f>
        <v>20</v>
      </c>
      <c r="D26" s="28" t="s">
        <v>94</v>
      </c>
      <c r="E26" s="21" t="s">
        <v>95</v>
      </c>
      <c r="F26" s="22" t="s">
        <v>104</v>
      </c>
      <c r="G26" s="23" t="s">
        <v>105</v>
      </c>
      <c r="H26" s="21" t="s">
        <v>106</v>
      </c>
      <c r="I26" s="21" t="s">
        <v>107</v>
      </c>
    </row>
    <row r="27" spans="2:9" ht="19.5" customHeight="1" x14ac:dyDescent="0.3">
      <c r="B27" s="18" t="s">
        <v>108</v>
      </c>
      <c r="C27" s="29">
        <f>'🌱 Configuração'!D6+21</f>
        <v>21</v>
      </c>
      <c r="D27" s="28" t="s">
        <v>94</v>
      </c>
      <c r="E27" s="30" t="s">
        <v>109</v>
      </c>
      <c r="F27" s="31"/>
      <c r="G27" s="32"/>
      <c r="H27" s="30"/>
      <c r="I27" s="30"/>
    </row>
    <row r="28" spans="2:9" ht="19.5" customHeight="1" x14ac:dyDescent="0.3">
      <c r="B28" s="18" t="s">
        <v>110</v>
      </c>
      <c r="C28" s="19">
        <f>'🌱 Configuração'!D6+22</f>
        <v>22</v>
      </c>
      <c r="D28" s="28" t="s">
        <v>94</v>
      </c>
      <c r="E28" s="21" t="s">
        <v>109</v>
      </c>
      <c r="F28" s="22"/>
      <c r="G28" s="23"/>
      <c r="H28" s="21"/>
      <c r="I28" s="21"/>
    </row>
    <row r="29" spans="2:9" ht="19.5" customHeight="1" x14ac:dyDescent="0.3">
      <c r="B29" s="18" t="s">
        <v>25</v>
      </c>
      <c r="C29" s="29">
        <f>'🌱 Configuração'!D6+23</f>
        <v>23</v>
      </c>
      <c r="D29" s="28" t="s">
        <v>94</v>
      </c>
      <c r="E29" s="30" t="s">
        <v>109</v>
      </c>
      <c r="F29" s="31"/>
      <c r="G29" s="32"/>
      <c r="H29" s="30"/>
      <c r="I29" s="30"/>
    </row>
    <row r="30" spans="2:9" ht="19.5" customHeight="1" x14ac:dyDescent="0.3">
      <c r="B30" s="18" t="s">
        <v>111</v>
      </c>
      <c r="C30" s="19">
        <f>'🌱 Configuração'!D6+24</f>
        <v>24</v>
      </c>
      <c r="D30" s="28" t="s">
        <v>94</v>
      </c>
      <c r="E30" s="21" t="s">
        <v>109</v>
      </c>
      <c r="F30" s="22" t="s">
        <v>112</v>
      </c>
      <c r="G30" s="23"/>
      <c r="H30" s="21"/>
      <c r="I30" s="21"/>
    </row>
    <row r="31" spans="2:9" ht="19.5" customHeight="1" x14ac:dyDescent="0.3">
      <c r="B31" s="18" t="s">
        <v>113</v>
      </c>
      <c r="C31" s="29">
        <f>'🌱 Configuração'!D6+25</f>
        <v>25</v>
      </c>
      <c r="D31" s="28" t="s">
        <v>94</v>
      </c>
      <c r="E31" s="30" t="s">
        <v>109</v>
      </c>
      <c r="F31" s="31"/>
      <c r="G31" s="32"/>
      <c r="H31" s="30"/>
      <c r="I31" s="30"/>
    </row>
    <row r="32" spans="2:9" ht="19.5" customHeight="1" x14ac:dyDescent="0.3">
      <c r="B32" s="18" t="s">
        <v>114</v>
      </c>
      <c r="C32" s="19">
        <f>'🌱 Configuração'!D6+26</f>
        <v>26</v>
      </c>
      <c r="D32" s="28" t="s">
        <v>94</v>
      </c>
      <c r="E32" s="21" t="s">
        <v>109</v>
      </c>
      <c r="F32" s="22"/>
      <c r="G32" s="23"/>
      <c r="H32" s="21"/>
      <c r="I32" s="21"/>
    </row>
    <row r="33" spans="2:9" ht="19.5" customHeight="1" x14ac:dyDescent="0.3">
      <c r="B33" s="18" t="s">
        <v>115</v>
      </c>
      <c r="C33" s="29">
        <f>'🌱 Configuração'!D6+27</f>
        <v>27</v>
      </c>
      <c r="D33" s="28" t="s">
        <v>94</v>
      </c>
      <c r="E33" s="30" t="s">
        <v>109</v>
      </c>
      <c r="F33" s="31" t="s">
        <v>116</v>
      </c>
      <c r="G33" s="32" t="s">
        <v>117</v>
      </c>
      <c r="H33" s="30" t="s">
        <v>118</v>
      </c>
      <c r="I33" s="30"/>
    </row>
    <row r="34" spans="2:9" ht="19.5" customHeight="1" x14ac:dyDescent="0.3">
      <c r="B34" s="18" t="s">
        <v>119</v>
      </c>
      <c r="C34" s="19">
        <f>'🌱 Configuração'!D6+28</f>
        <v>28</v>
      </c>
      <c r="D34" s="28" t="s">
        <v>94</v>
      </c>
      <c r="E34" s="21" t="s">
        <v>120</v>
      </c>
      <c r="F34" s="22"/>
      <c r="G34" s="23"/>
      <c r="H34" s="21"/>
      <c r="I34" s="21"/>
    </row>
    <row r="35" spans="2:9" ht="19.5" customHeight="1" x14ac:dyDescent="0.3">
      <c r="B35" s="18" t="s">
        <v>121</v>
      </c>
      <c r="C35" s="29">
        <f>'🌱 Configuração'!D6+29</f>
        <v>29</v>
      </c>
      <c r="D35" s="28" t="s">
        <v>94</v>
      </c>
      <c r="E35" s="30" t="s">
        <v>120</v>
      </c>
      <c r="F35" s="31"/>
      <c r="G35" s="32"/>
      <c r="H35" s="30"/>
      <c r="I35" s="30"/>
    </row>
    <row r="36" spans="2:9" ht="19.5" customHeight="1" x14ac:dyDescent="0.3">
      <c r="B36" s="18" t="s">
        <v>122</v>
      </c>
      <c r="C36" s="19">
        <f>'🌱 Configuração'!D6+30</f>
        <v>30</v>
      </c>
      <c r="D36" s="28" t="s">
        <v>94</v>
      </c>
      <c r="E36" s="21" t="s">
        <v>120</v>
      </c>
      <c r="F36" s="22"/>
      <c r="G36" s="23"/>
      <c r="H36" s="21"/>
      <c r="I36" s="21"/>
    </row>
    <row r="37" spans="2:9" ht="19.5" customHeight="1" x14ac:dyDescent="0.3">
      <c r="B37" s="18" t="s">
        <v>123</v>
      </c>
      <c r="C37" s="29">
        <f>'🌱 Configuração'!D6+31</f>
        <v>31</v>
      </c>
      <c r="D37" s="28" t="s">
        <v>94</v>
      </c>
      <c r="E37" s="30" t="s">
        <v>120</v>
      </c>
      <c r="F37" s="31" t="s">
        <v>124</v>
      </c>
      <c r="G37" s="32"/>
      <c r="H37" s="30"/>
      <c r="I37" s="30"/>
    </row>
    <row r="38" spans="2:9" ht="19.5" customHeight="1" x14ac:dyDescent="0.3">
      <c r="B38" s="18" t="s">
        <v>125</v>
      </c>
      <c r="C38" s="19">
        <f>'🌱 Configuração'!D6+32</f>
        <v>32</v>
      </c>
      <c r="D38" s="28" t="s">
        <v>94</v>
      </c>
      <c r="E38" s="21" t="s">
        <v>120</v>
      </c>
      <c r="F38" s="22"/>
      <c r="G38" s="23"/>
      <c r="H38" s="21"/>
      <c r="I38" s="21"/>
    </row>
    <row r="39" spans="2:9" ht="19.5" customHeight="1" x14ac:dyDescent="0.3">
      <c r="B39" s="18" t="s">
        <v>126</v>
      </c>
      <c r="C39" s="29">
        <f>'🌱 Configuração'!D6+33</f>
        <v>33</v>
      </c>
      <c r="D39" s="28" t="s">
        <v>94</v>
      </c>
      <c r="E39" s="30" t="s">
        <v>120</v>
      </c>
      <c r="F39" s="31"/>
      <c r="G39" s="32"/>
      <c r="H39" s="30"/>
      <c r="I39" s="30"/>
    </row>
    <row r="40" spans="2:9" ht="19.5" customHeight="1" x14ac:dyDescent="0.3">
      <c r="B40" s="18" t="s">
        <v>127</v>
      </c>
      <c r="C40" s="19">
        <f>'🌱 Configuração'!D6+34</f>
        <v>34</v>
      </c>
      <c r="D40" s="28" t="s">
        <v>94</v>
      </c>
      <c r="E40" s="21" t="s">
        <v>120</v>
      </c>
      <c r="F40" s="22" t="s">
        <v>128</v>
      </c>
      <c r="G40" s="23" t="s">
        <v>129</v>
      </c>
      <c r="H40" s="21" t="s">
        <v>130</v>
      </c>
      <c r="I40" s="21" t="s">
        <v>131</v>
      </c>
    </row>
    <row r="41" spans="2:9" ht="19.5" customHeight="1" x14ac:dyDescent="0.3">
      <c r="B41" s="18" t="s">
        <v>132</v>
      </c>
      <c r="C41" s="29">
        <f>'🌱 Configuração'!D6+35</f>
        <v>35</v>
      </c>
      <c r="D41" s="28" t="s">
        <v>94</v>
      </c>
      <c r="E41" s="30" t="s">
        <v>133</v>
      </c>
      <c r="F41" s="31"/>
      <c r="G41" s="32"/>
      <c r="H41" s="30"/>
      <c r="I41" s="30"/>
    </row>
    <row r="42" spans="2:9" ht="19.5" customHeight="1" x14ac:dyDescent="0.3">
      <c r="B42" s="18" t="s">
        <v>134</v>
      </c>
      <c r="C42" s="19">
        <f>'🌱 Configuração'!D6+36</f>
        <v>36</v>
      </c>
      <c r="D42" s="28" t="s">
        <v>94</v>
      </c>
      <c r="E42" s="21" t="s">
        <v>133</v>
      </c>
      <c r="F42" s="22"/>
      <c r="G42" s="23"/>
      <c r="H42" s="21"/>
      <c r="I42" s="21"/>
    </row>
    <row r="43" spans="2:9" ht="19.5" customHeight="1" x14ac:dyDescent="0.3">
      <c r="B43" s="18" t="s">
        <v>135</v>
      </c>
      <c r="C43" s="29">
        <f>'🌱 Configuração'!D6+37</f>
        <v>37</v>
      </c>
      <c r="D43" s="28" t="s">
        <v>94</v>
      </c>
      <c r="E43" s="30" t="s">
        <v>133</v>
      </c>
      <c r="F43" s="31" t="s">
        <v>136</v>
      </c>
      <c r="G43" s="32"/>
      <c r="H43" s="30"/>
      <c r="I43" s="30"/>
    </row>
    <row r="44" spans="2:9" ht="19.5" customHeight="1" x14ac:dyDescent="0.3">
      <c r="B44" s="18" t="s">
        <v>137</v>
      </c>
      <c r="C44" s="19">
        <f>'🌱 Configuração'!D6+38</f>
        <v>38</v>
      </c>
      <c r="D44" s="28" t="s">
        <v>94</v>
      </c>
      <c r="E44" s="21" t="s">
        <v>133</v>
      </c>
      <c r="F44" s="22"/>
      <c r="G44" s="23"/>
      <c r="H44" s="21"/>
      <c r="I44" s="21"/>
    </row>
    <row r="45" spans="2:9" ht="19.5" customHeight="1" x14ac:dyDescent="0.3">
      <c r="B45" s="18" t="s">
        <v>138</v>
      </c>
      <c r="C45" s="29">
        <f>'🌱 Configuração'!D6+39</f>
        <v>39</v>
      </c>
      <c r="D45" s="28" t="s">
        <v>94</v>
      </c>
      <c r="E45" s="30" t="s">
        <v>133</v>
      </c>
      <c r="F45" s="31"/>
      <c r="G45" s="32"/>
      <c r="H45" s="30"/>
      <c r="I45" s="30"/>
    </row>
    <row r="46" spans="2:9" ht="19.5" customHeight="1" x14ac:dyDescent="0.3">
      <c r="B46" s="18" t="s">
        <v>139</v>
      </c>
      <c r="C46" s="19">
        <f>'🌱 Configuração'!D6+40</f>
        <v>40</v>
      </c>
      <c r="D46" s="28" t="s">
        <v>94</v>
      </c>
      <c r="E46" s="21" t="s">
        <v>133</v>
      </c>
      <c r="F46" s="22"/>
      <c r="G46" s="23"/>
      <c r="H46" s="21"/>
      <c r="I46" s="21"/>
    </row>
    <row r="47" spans="2:9" ht="19.5" customHeight="1" x14ac:dyDescent="0.3">
      <c r="B47" s="18" t="s">
        <v>8</v>
      </c>
      <c r="C47" s="29">
        <f>'🌱 Configuração'!D6+41</f>
        <v>41</v>
      </c>
      <c r="D47" s="28" t="s">
        <v>94</v>
      </c>
      <c r="E47" s="30" t="s">
        <v>133</v>
      </c>
      <c r="F47" s="31" t="s">
        <v>140</v>
      </c>
      <c r="G47" s="32" t="s">
        <v>141</v>
      </c>
      <c r="H47" s="30" t="s">
        <v>142</v>
      </c>
      <c r="I47" s="30" t="s">
        <v>143</v>
      </c>
    </row>
    <row r="48" spans="2:9" ht="19.5" customHeight="1" x14ac:dyDescent="0.3">
      <c r="B48" s="18" t="s">
        <v>144</v>
      </c>
      <c r="C48" s="19">
        <f>'🌱 Configuração'!D6+42</f>
        <v>42</v>
      </c>
      <c r="D48" s="28" t="s">
        <v>94</v>
      </c>
      <c r="E48" s="21" t="s">
        <v>145</v>
      </c>
      <c r="F48" s="22"/>
      <c r="G48" s="23"/>
      <c r="H48" s="21" t="s">
        <v>146</v>
      </c>
      <c r="I48" s="21" t="s">
        <v>147</v>
      </c>
    </row>
    <row r="49" spans="2:9" ht="19.5" customHeight="1" x14ac:dyDescent="0.3">
      <c r="B49" s="18" t="s">
        <v>148</v>
      </c>
      <c r="C49" s="29">
        <f>'🌱 Configuração'!D6+43</f>
        <v>43</v>
      </c>
      <c r="D49" s="28" t="s">
        <v>94</v>
      </c>
      <c r="E49" s="30" t="s">
        <v>145</v>
      </c>
      <c r="F49" s="31"/>
      <c r="G49" s="32"/>
      <c r="H49" s="30"/>
      <c r="I49" s="30"/>
    </row>
    <row r="50" spans="2:9" ht="19.5" customHeight="1" x14ac:dyDescent="0.3">
      <c r="B50" s="18" t="s">
        <v>149</v>
      </c>
      <c r="C50" s="19">
        <f>'🌱 Configuração'!D6+44</f>
        <v>44</v>
      </c>
      <c r="D50" s="28" t="s">
        <v>94</v>
      </c>
      <c r="E50" s="21" t="s">
        <v>145</v>
      </c>
      <c r="F50" s="22" t="s">
        <v>150</v>
      </c>
      <c r="G50" s="23"/>
      <c r="H50" s="21"/>
      <c r="I50" s="21"/>
    </row>
    <row r="51" spans="2:9" ht="19.5" customHeight="1" x14ac:dyDescent="0.3">
      <c r="B51" s="18" t="s">
        <v>151</v>
      </c>
      <c r="C51" s="29">
        <f>'🌱 Configuração'!D6+45</f>
        <v>45</v>
      </c>
      <c r="D51" s="28" t="s">
        <v>94</v>
      </c>
      <c r="E51" s="30" t="s">
        <v>145</v>
      </c>
      <c r="F51" s="31"/>
      <c r="G51" s="32"/>
      <c r="H51" s="30"/>
      <c r="I51" s="30"/>
    </row>
    <row r="52" spans="2:9" ht="19.5" customHeight="1" x14ac:dyDescent="0.3">
      <c r="B52" s="18" t="s">
        <v>152</v>
      </c>
      <c r="C52" s="19">
        <f>'🌱 Configuração'!D6+46</f>
        <v>46</v>
      </c>
      <c r="D52" s="28" t="s">
        <v>94</v>
      </c>
      <c r="E52" s="21" t="s">
        <v>145</v>
      </c>
      <c r="F52" s="22"/>
      <c r="G52" s="23"/>
      <c r="H52" s="21"/>
      <c r="I52" s="21"/>
    </row>
    <row r="53" spans="2:9" ht="19.5" customHeight="1" x14ac:dyDescent="0.3">
      <c r="B53" s="18" t="s">
        <v>153</v>
      </c>
      <c r="C53" s="29">
        <f>'🌱 Configuração'!D6+47</f>
        <v>47</v>
      </c>
      <c r="D53" s="28" t="s">
        <v>94</v>
      </c>
      <c r="E53" s="30" t="s">
        <v>145</v>
      </c>
      <c r="F53" s="31"/>
      <c r="G53" s="32"/>
      <c r="H53" s="30"/>
      <c r="I53" s="30"/>
    </row>
    <row r="54" spans="2:9" ht="19.5" customHeight="1" x14ac:dyDescent="0.3">
      <c r="B54" s="18" t="s">
        <v>154</v>
      </c>
      <c r="C54" s="19">
        <f>'🌱 Configuração'!D6+48</f>
        <v>48</v>
      </c>
      <c r="D54" s="28" t="s">
        <v>94</v>
      </c>
      <c r="E54" s="21" t="s">
        <v>145</v>
      </c>
      <c r="F54" s="22"/>
      <c r="G54" s="23" t="s">
        <v>105</v>
      </c>
      <c r="H54" s="21"/>
      <c r="I54" s="21"/>
    </row>
    <row r="55" spans="2:9" ht="19.5" customHeight="1" x14ac:dyDescent="0.3">
      <c r="B55" s="18" t="s">
        <v>29</v>
      </c>
      <c r="C55" s="29">
        <f>'🌱 Configuração'!D6+49</f>
        <v>49</v>
      </c>
      <c r="D55" s="28" t="s">
        <v>94</v>
      </c>
      <c r="E55" s="30" t="s">
        <v>155</v>
      </c>
      <c r="F55" s="31"/>
      <c r="G55" s="32"/>
      <c r="H55" s="30"/>
      <c r="I55" s="30"/>
    </row>
    <row r="56" spans="2:9" ht="19.5" customHeight="1" x14ac:dyDescent="0.3">
      <c r="B56" s="18" t="s">
        <v>156</v>
      </c>
      <c r="C56" s="19">
        <f>'🌱 Configuração'!D6+50</f>
        <v>50</v>
      </c>
      <c r="D56" s="28" t="s">
        <v>94</v>
      </c>
      <c r="E56" s="21" t="s">
        <v>155</v>
      </c>
      <c r="F56" s="22"/>
      <c r="G56" s="23"/>
      <c r="H56" s="21"/>
      <c r="I56" s="21"/>
    </row>
    <row r="57" spans="2:9" ht="19.5" customHeight="1" x14ac:dyDescent="0.3">
      <c r="B57" s="18" t="s">
        <v>157</v>
      </c>
      <c r="C57" s="29">
        <f>'🌱 Configuração'!D6+51</f>
        <v>51</v>
      </c>
      <c r="D57" s="28" t="s">
        <v>94</v>
      </c>
      <c r="E57" s="30" t="s">
        <v>155</v>
      </c>
      <c r="F57" s="31"/>
      <c r="G57" s="32"/>
      <c r="H57" s="30"/>
      <c r="I57" s="30"/>
    </row>
    <row r="58" spans="2:9" ht="19.5" customHeight="1" x14ac:dyDescent="0.3">
      <c r="B58" s="18" t="s">
        <v>158</v>
      </c>
      <c r="C58" s="19">
        <f>'🌱 Configuração'!D6+52</f>
        <v>52</v>
      </c>
      <c r="D58" s="28" t="s">
        <v>94</v>
      </c>
      <c r="E58" s="21" t="s">
        <v>155</v>
      </c>
      <c r="F58" s="22"/>
      <c r="G58" s="23"/>
      <c r="H58" s="21"/>
      <c r="I58" s="21"/>
    </row>
    <row r="59" spans="2:9" ht="19.5" customHeight="1" x14ac:dyDescent="0.3">
      <c r="B59" s="18" t="s">
        <v>159</v>
      </c>
      <c r="C59" s="29">
        <f>'🌱 Configuração'!D6+53</f>
        <v>53</v>
      </c>
      <c r="D59" s="28" t="s">
        <v>94</v>
      </c>
      <c r="E59" s="30" t="s">
        <v>155</v>
      </c>
      <c r="F59" s="31"/>
      <c r="G59" s="32"/>
      <c r="H59" s="30"/>
      <c r="I59" s="30"/>
    </row>
    <row r="60" spans="2:9" ht="19.5" customHeight="1" x14ac:dyDescent="0.3">
      <c r="B60" s="18" t="s">
        <v>160</v>
      </c>
      <c r="C60" s="19">
        <f>'🌱 Configuração'!D6+54</f>
        <v>54</v>
      </c>
      <c r="D60" s="28" t="s">
        <v>94</v>
      </c>
      <c r="E60" s="21" t="s">
        <v>155</v>
      </c>
      <c r="F60" s="22"/>
      <c r="G60" s="23"/>
      <c r="H60" s="21"/>
      <c r="I60" s="21"/>
    </row>
    <row r="61" spans="2:9" ht="19.5" customHeight="1" x14ac:dyDescent="0.3">
      <c r="B61" s="18" t="s">
        <v>161</v>
      </c>
      <c r="C61" s="29">
        <f>'🌱 Configuração'!D6+55</f>
        <v>55</v>
      </c>
      <c r="D61" s="28" t="s">
        <v>94</v>
      </c>
      <c r="E61" s="30" t="s">
        <v>155</v>
      </c>
      <c r="F61" s="31"/>
      <c r="G61" s="32" t="s">
        <v>162</v>
      </c>
      <c r="H61" s="30"/>
      <c r="I61" s="30"/>
    </row>
    <row r="62" spans="2:9" ht="19.5" customHeight="1" x14ac:dyDescent="0.3">
      <c r="B62" s="18" t="s">
        <v>163</v>
      </c>
      <c r="C62" s="19">
        <f>'🌱 Configuração'!D6+56</f>
        <v>56</v>
      </c>
      <c r="D62" s="33" t="s">
        <v>164</v>
      </c>
      <c r="E62" s="21" t="s">
        <v>165</v>
      </c>
      <c r="F62" s="22"/>
      <c r="G62" s="23"/>
      <c r="H62" s="21" t="s">
        <v>166</v>
      </c>
      <c r="I62" s="21" t="s">
        <v>167</v>
      </c>
    </row>
    <row r="63" spans="2:9" ht="19.5" customHeight="1" x14ac:dyDescent="0.3">
      <c r="B63" s="18" t="s">
        <v>168</v>
      </c>
      <c r="C63" s="34">
        <f>'🌱 Configuração'!D6+57</f>
        <v>57</v>
      </c>
      <c r="D63" s="33" t="s">
        <v>164</v>
      </c>
      <c r="E63" s="35" t="s">
        <v>165</v>
      </c>
      <c r="F63" s="36" t="s">
        <v>169</v>
      </c>
      <c r="G63" s="37"/>
      <c r="H63" s="35"/>
      <c r="I63" s="35"/>
    </row>
    <row r="64" spans="2:9" ht="19.5" customHeight="1" x14ac:dyDescent="0.3">
      <c r="B64" s="18" t="s">
        <v>170</v>
      </c>
      <c r="C64" s="19">
        <f>'🌱 Configuração'!D6+58</f>
        <v>58</v>
      </c>
      <c r="D64" s="33" t="s">
        <v>164</v>
      </c>
      <c r="E64" s="21" t="s">
        <v>165</v>
      </c>
      <c r="F64" s="22"/>
      <c r="G64" s="23"/>
      <c r="H64" s="21"/>
      <c r="I64" s="21"/>
    </row>
    <row r="65" spans="2:9" ht="19.5" customHeight="1" x14ac:dyDescent="0.3">
      <c r="B65" s="18" t="s">
        <v>171</v>
      </c>
      <c r="C65" s="34">
        <f>'🌱 Configuração'!D6+59</f>
        <v>59</v>
      </c>
      <c r="D65" s="33" t="s">
        <v>164</v>
      </c>
      <c r="E65" s="35" t="s">
        <v>165</v>
      </c>
      <c r="F65" s="36"/>
      <c r="G65" s="37"/>
      <c r="H65" s="35"/>
      <c r="I65" s="35"/>
    </row>
    <row r="66" spans="2:9" ht="19.5" customHeight="1" x14ac:dyDescent="0.3">
      <c r="B66" s="18" t="s">
        <v>172</v>
      </c>
      <c r="C66" s="19">
        <f>'🌱 Configuração'!D6+60</f>
        <v>60</v>
      </c>
      <c r="D66" s="33" t="s">
        <v>164</v>
      </c>
      <c r="E66" s="21" t="s">
        <v>165</v>
      </c>
      <c r="F66" s="22"/>
      <c r="G66" s="23"/>
      <c r="H66" s="21"/>
      <c r="I66" s="21"/>
    </row>
    <row r="67" spans="2:9" ht="19.5" customHeight="1" x14ac:dyDescent="0.3">
      <c r="B67" s="18" t="s">
        <v>173</v>
      </c>
      <c r="C67" s="34">
        <f>'🌱 Configuração'!D6+61</f>
        <v>61</v>
      </c>
      <c r="D67" s="33" t="s">
        <v>164</v>
      </c>
      <c r="E67" s="35" t="s">
        <v>165</v>
      </c>
      <c r="F67" s="36"/>
      <c r="G67" s="37"/>
      <c r="H67" s="35"/>
      <c r="I67" s="35"/>
    </row>
    <row r="68" spans="2:9" ht="19.5" customHeight="1" x14ac:dyDescent="0.3">
      <c r="B68" s="18" t="s">
        <v>12</v>
      </c>
      <c r="C68" s="19">
        <f>'🌱 Configuração'!D6+62</f>
        <v>62</v>
      </c>
      <c r="D68" s="33" t="s">
        <v>164</v>
      </c>
      <c r="E68" s="21" t="s">
        <v>165</v>
      </c>
      <c r="F68" s="22" t="s">
        <v>174</v>
      </c>
      <c r="G68" s="23" t="s">
        <v>175</v>
      </c>
      <c r="H68" s="21" t="s">
        <v>176</v>
      </c>
      <c r="I68" s="21"/>
    </row>
    <row r="69" spans="2:9" ht="19.5" customHeight="1" x14ac:dyDescent="0.3">
      <c r="B69" s="18" t="s">
        <v>177</v>
      </c>
      <c r="C69" s="34">
        <f>'🌱 Configuração'!D6+63</f>
        <v>63</v>
      </c>
      <c r="D69" s="33" t="s">
        <v>164</v>
      </c>
      <c r="E69" s="35" t="s">
        <v>178</v>
      </c>
      <c r="F69" s="36"/>
      <c r="G69" s="37"/>
      <c r="H69" s="35"/>
      <c r="I69" s="35"/>
    </row>
    <row r="70" spans="2:9" ht="19.5" customHeight="1" x14ac:dyDescent="0.3">
      <c r="B70" s="18" t="s">
        <v>27</v>
      </c>
      <c r="C70" s="19">
        <f>'🌱 Configuração'!D6+64</f>
        <v>64</v>
      </c>
      <c r="D70" s="33" t="s">
        <v>164</v>
      </c>
      <c r="E70" s="21" t="s">
        <v>178</v>
      </c>
      <c r="F70" s="22"/>
      <c r="G70" s="23"/>
      <c r="H70" s="21"/>
      <c r="I70" s="21"/>
    </row>
    <row r="71" spans="2:9" ht="19.5" customHeight="1" x14ac:dyDescent="0.3">
      <c r="B71" s="18" t="s">
        <v>179</v>
      </c>
      <c r="C71" s="34">
        <f>'🌱 Configuração'!D6+65</f>
        <v>65</v>
      </c>
      <c r="D71" s="33" t="s">
        <v>164</v>
      </c>
      <c r="E71" s="35" t="s">
        <v>178</v>
      </c>
      <c r="F71" s="36"/>
      <c r="G71" s="37"/>
      <c r="H71" s="35"/>
      <c r="I71" s="35"/>
    </row>
    <row r="72" spans="2:9" ht="19.5" customHeight="1" x14ac:dyDescent="0.3">
      <c r="B72" s="18" t="s">
        <v>180</v>
      </c>
      <c r="C72" s="19">
        <f>'🌱 Configuração'!D6+66</f>
        <v>66</v>
      </c>
      <c r="D72" s="33" t="s">
        <v>164</v>
      </c>
      <c r="E72" s="21" t="s">
        <v>178</v>
      </c>
      <c r="F72" s="22"/>
      <c r="G72" s="23"/>
      <c r="H72" s="21"/>
      <c r="I72" s="21"/>
    </row>
    <row r="73" spans="2:9" ht="19.5" customHeight="1" x14ac:dyDescent="0.3">
      <c r="B73" s="18" t="s">
        <v>181</v>
      </c>
      <c r="C73" s="34">
        <f>'🌱 Configuração'!D6+67</f>
        <v>67</v>
      </c>
      <c r="D73" s="33" t="s">
        <v>164</v>
      </c>
      <c r="E73" s="35" t="s">
        <v>178</v>
      </c>
      <c r="F73" s="36"/>
      <c r="G73" s="37"/>
      <c r="H73" s="35"/>
      <c r="I73" s="35"/>
    </row>
    <row r="74" spans="2:9" ht="19.5" customHeight="1" x14ac:dyDescent="0.3">
      <c r="B74" s="18" t="s">
        <v>182</v>
      </c>
      <c r="C74" s="19">
        <f>'🌱 Configuração'!D6+68</f>
        <v>68</v>
      </c>
      <c r="D74" s="33" t="s">
        <v>164</v>
      </c>
      <c r="E74" s="21" t="s">
        <v>178</v>
      </c>
      <c r="F74" s="22"/>
      <c r="G74" s="23"/>
      <c r="H74" s="21"/>
      <c r="I74" s="21"/>
    </row>
    <row r="75" spans="2:9" ht="19.5" customHeight="1" x14ac:dyDescent="0.3">
      <c r="B75" s="18" t="s">
        <v>183</v>
      </c>
      <c r="C75" s="34">
        <f>'🌱 Configuração'!D6+69</f>
        <v>69</v>
      </c>
      <c r="D75" s="33" t="s">
        <v>164</v>
      </c>
      <c r="E75" s="35" t="s">
        <v>178</v>
      </c>
      <c r="F75" s="36" t="s">
        <v>184</v>
      </c>
      <c r="G75" s="37" t="s">
        <v>185</v>
      </c>
      <c r="H75" s="35" t="s">
        <v>186</v>
      </c>
      <c r="I75" s="35" t="s">
        <v>187</v>
      </c>
    </row>
    <row r="76" spans="2:9" ht="19.5" customHeight="1" x14ac:dyDescent="0.3">
      <c r="B76" s="18" t="s">
        <v>188</v>
      </c>
      <c r="C76" s="19">
        <f>'🌱 Configuração'!D6+70</f>
        <v>70</v>
      </c>
      <c r="D76" s="33" t="s">
        <v>164</v>
      </c>
      <c r="E76" s="21" t="s">
        <v>189</v>
      </c>
      <c r="F76" s="22"/>
      <c r="G76" s="23"/>
      <c r="H76" s="21"/>
      <c r="I76" s="21"/>
    </row>
    <row r="77" spans="2:9" ht="19.5" customHeight="1" x14ac:dyDescent="0.3">
      <c r="B77" s="18" t="s">
        <v>190</v>
      </c>
      <c r="C77" s="34">
        <f>'🌱 Configuração'!D6+71</f>
        <v>71</v>
      </c>
      <c r="D77" s="33" t="s">
        <v>164</v>
      </c>
      <c r="E77" s="35" t="s">
        <v>189</v>
      </c>
      <c r="F77" s="36"/>
      <c r="G77" s="37"/>
      <c r="H77" s="35"/>
      <c r="I77" s="35"/>
    </row>
    <row r="78" spans="2:9" ht="19.5" customHeight="1" x14ac:dyDescent="0.3">
      <c r="B78" s="18" t="s">
        <v>191</v>
      </c>
      <c r="C78" s="19">
        <f>'🌱 Configuração'!D6+72</f>
        <v>72</v>
      </c>
      <c r="D78" s="33" t="s">
        <v>164</v>
      </c>
      <c r="E78" s="21" t="s">
        <v>189</v>
      </c>
      <c r="F78" s="22"/>
      <c r="G78" s="23"/>
      <c r="H78" s="21"/>
      <c r="I78" s="21"/>
    </row>
    <row r="79" spans="2:9" ht="19.5" customHeight="1" x14ac:dyDescent="0.3">
      <c r="B79" s="18" t="s">
        <v>192</v>
      </c>
      <c r="C79" s="34">
        <f>'🌱 Configuração'!D6+73</f>
        <v>73</v>
      </c>
      <c r="D79" s="33" t="s">
        <v>164</v>
      </c>
      <c r="E79" s="35" t="s">
        <v>189</v>
      </c>
      <c r="F79" s="36"/>
      <c r="G79" s="37"/>
      <c r="H79" s="35"/>
      <c r="I79" s="35"/>
    </row>
    <row r="80" spans="2:9" ht="19.5" customHeight="1" x14ac:dyDescent="0.3">
      <c r="B80" s="18" t="s">
        <v>193</v>
      </c>
      <c r="C80" s="19">
        <f>'🌱 Configuração'!D6+74</f>
        <v>74</v>
      </c>
      <c r="D80" s="33" t="s">
        <v>164</v>
      </c>
      <c r="E80" s="21" t="s">
        <v>189</v>
      </c>
      <c r="F80" s="22"/>
      <c r="G80" s="23"/>
      <c r="H80" s="21"/>
      <c r="I80" s="21"/>
    </row>
    <row r="81" spans="2:9" ht="19.5" customHeight="1" x14ac:dyDescent="0.3">
      <c r="B81" s="18" t="s">
        <v>194</v>
      </c>
      <c r="C81" s="34">
        <f>'🌱 Configuração'!D6+75</f>
        <v>75</v>
      </c>
      <c r="D81" s="33" t="s">
        <v>164</v>
      </c>
      <c r="E81" s="35" t="s">
        <v>189</v>
      </c>
      <c r="F81" s="36"/>
      <c r="G81" s="37"/>
      <c r="H81" s="35"/>
      <c r="I81" s="35"/>
    </row>
    <row r="82" spans="2:9" ht="19.5" customHeight="1" x14ac:dyDescent="0.3">
      <c r="B82" s="18" t="s">
        <v>195</v>
      </c>
      <c r="C82" s="19">
        <f>'🌱 Configuração'!D6+76</f>
        <v>76</v>
      </c>
      <c r="D82" s="33" t="s">
        <v>164</v>
      </c>
      <c r="E82" s="21" t="s">
        <v>189</v>
      </c>
      <c r="F82" s="22" t="s">
        <v>196</v>
      </c>
      <c r="G82" s="23" t="s">
        <v>175</v>
      </c>
      <c r="H82" s="21" t="s">
        <v>197</v>
      </c>
      <c r="I82" s="21"/>
    </row>
    <row r="83" spans="2:9" ht="19.5" customHeight="1" x14ac:dyDescent="0.3">
      <c r="B83" s="18" t="s">
        <v>198</v>
      </c>
      <c r="C83" s="34">
        <f>'🌱 Configuração'!D6+77</f>
        <v>77</v>
      </c>
      <c r="D83" s="33" t="s">
        <v>164</v>
      </c>
      <c r="E83" s="35" t="s">
        <v>199</v>
      </c>
      <c r="F83" s="36"/>
      <c r="G83" s="37"/>
      <c r="H83" s="35"/>
      <c r="I83" s="35"/>
    </row>
    <row r="84" spans="2:9" ht="19.5" customHeight="1" x14ac:dyDescent="0.3">
      <c r="B84" s="18" t="s">
        <v>200</v>
      </c>
      <c r="C84" s="19">
        <f>'🌱 Configuração'!D6+78</f>
        <v>78</v>
      </c>
      <c r="D84" s="33" t="s">
        <v>164</v>
      </c>
      <c r="E84" s="21" t="s">
        <v>199</v>
      </c>
      <c r="F84" s="22"/>
      <c r="G84" s="23"/>
      <c r="H84" s="21"/>
      <c r="I84" s="21"/>
    </row>
    <row r="85" spans="2:9" ht="19.5" customHeight="1" x14ac:dyDescent="0.3">
      <c r="B85" s="18" t="s">
        <v>201</v>
      </c>
      <c r="C85" s="34">
        <f>'🌱 Configuração'!D6+79</f>
        <v>79</v>
      </c>
      <c r="D85" s="33" t="s">
        <v>164</v>
      </c>
      <c r="E85" s="35" t="s">
        <v>199</v>
      </c>
      <c r="F85" s="36"/>
      <c r="G85" s="37"/>
      <c r="H85" s="35"/>
      <c r="I85" s="35"/>
    </row>
    <row r="86" spans="2:9" ht="19.5" customHeight="1" x14ac:dyDescent="0.3">
      <c r="B86" s="18" t="s">
        <v>202</v>
      </c>
      <c r="C86" s="19">
        <f>'🌱 Configuração'!D6+80</f>
        <v>80</v>
      </c>
      <c r="D86" s="33" t="s">
        <v>164</v>
      </c>
      <c r="E86" s="21" t="s">
        <v>199</v>
      </c>
      <c r="F86" s="22"/>
      <c r="G86" s="23"/>
      <c r="H86" s="21"/>
      <c r="I86" s="21"/>
    </row>
    <row r="87" spans="2:9" ht="19.5" customHeight="1" x14ac:dyDescent="0.3">
      <c r="B87" s="18" t="s">
        <v>203</v>
      </c>
      <c r="C87" s="34">
        <f>'🌱 Configuração'!D6+81</f>
        <v>81</v>
      </c>
      <c r="D87" s="33" t="s">
        <v>164</v>
      </c>
      <c r="E87" s="35" t="s">
        <v>199</v>
      </c>
      <c r="F87" s="36"/>
      <c r="G87" s="37"/>
      <c r="H87" s="35"/>
      <c r="I87" s="35"/>
    </row>
    <row r="88" spans="2:9" ht="19.5" customHeight="1" x14ac:dyDescent="0.3">
      <c r="B88" s="18" t="s">
        <v>204</v>
      </c>
      <c r="C88" s="19">
        <f>'🌱 Configuração'!D6+82</f>
        <v>82</v>
      </c>
      <c r="D88" s="33" t="s">
        <v>164</v>
      </c>
      <c r="E88" s="21" t="s">
        <v>199</v>
      </c>
      <c r="F88" s="22"/>
      <c r="G88" s="23"/>
      <c r="H88" s="21"/>
      <c r="I88" s="21"/>
    </row>
    <row r="89" spans="2:9" ht="19.5" customHeight="1" x14ac:dyDescent="0.3">
      <c r="B89" s="18" t="s">
        <v>205</v>
      </c>
      <c r="C89" s="34">
        <f>'🌱 Configuração'!D6+83</f>
        <v>83</v>
      </c>
      <c r="D89" s="33" t="s">
        <v>164</v>
      </c>
      <c r="E89" s="35" t="s">
        <v>199</v>
      </c>
      <c r="F89" s="36" t="s">
        <v>206</v>
      </c>
      <c r="G89" s="37"/>
      <c r="H89" s="35" t="s">
        <v>207</v>
      </c>
      <c r="I89" s="35" t="s">
        <v>208</v>
      </c>
    </row>
    <row r="90" spans="2:9" ht="19.5" customHeight="1" x14ac:dyDescent="0.3">
      <c r="B90" s="18" t="s">
        <v>209</v>
      </c>
      <c r="C90" s="19">
        <f>'🌱 Configuração'!D6+84</f>
        <v>84</v>
      </c>
      <c r="D90" s="33" t="s">
        <v>164</v>
      </c>
      <c r="E90" s="21" t="s">
        <v>210</v>
      </c>
      <c r="F90" s="22"/>
      <c r="G90" s="23"/>
      <c r="H90" s="21"/>
      <c r="I90" s="21"/>
    </row>
    <row r="91" spans="2:9" ht="19.5" customHeight="1" x14ac:dyDescent="0.3">
      <c r="B91" s="18" t="s">
        <v>211</v>
      </c>
      <c r="C91" s="34">
        <f>'🌱 Configuração'!D6+85</f>
        <v>85</v>
      </c>
      <c r="D91" s="33" t="s">
        <v>164</v>
      </c>
      <c r="E91" s="35" t="s">
        <v>210</v>
      </c>
      <c r="F91" s="36"/>
      <c r="G91" s="37"/>
      <c r="H91" s="35"/>
      <c r="I91" s="35"/>
    </row>
    <row r="92" spans="2:9" ht="19.5" customHeight="1" x14ac:dyDescent="0.3">
      <c r="B92" s="18" t="s">
        <v>212</v>
      </c>
      <c r="C92" s="19">
        <f>'🌱 Configuração'!D6+86</f>
        <v>86</v>
      </c>
      <c r="D92" s="33" t="s">
        <v>164</v>
      </c>
      <c r="E92" s="21" t="s">
        <v>210</v>
      </c>
      <c r="F92" s="22"/>
      <c r="G92" s="23"/>
      <c r="H92" s="21"/>
      <c r="I92" s="21"/>
    </row>
    <row r="93" spans="2:9" ht="19.5" customHeight="1" x14ac:dyDescent="0.3">
      <c r="B93" s="18" t="s">
        <v>213</v>
      </c>
      <c r="C93" s="34">
        <f>'🌱 Configuração'!D6+87</f>
        <v>87</v>
      </c>
      <c r="D93" s="33" t="s">
        <v>164</v>
      </c>
      <c r="E93" s="35" t="s">
        <v>210</v>
      </c>
      <c r="F93" s="36"/>
      <c r="G93" s="37"/>
      <c r="H93" s="35"/>
      <c r="I93" s="35"/>
    </row>
    <row r="94" spans="2:9" ht="19.5" customHeight="1" x14ac:dyDescent="0.3">
      <c r="B94" s="18" t="s">
        <v>214</v>
      </c>
      <c r="C94" s="19">
        <f>'🌱 Configuração'!D6+88</f>
        <v>88</v>
      </c>
      <c r="D94" s="33" t="s">
        <v>164</v>
      </c>
      <c r="E94" s="21" t="s">
        <v>210</v>
      </c>
      <c r="F94" s="22"/>
      <c r="G94" s="23"/>
      <c r="H94" s="21"/>
      <c r="I94" s="21"/>
    </row>
    <row r="95" spans="2:9" ht="19.5" customHeight="1" x14ac:dyDescent="0.3">
      <c r="B95" s="18" t="s">
        <v>215</v>
      </c>
      <c r="C95" s="34">
        <f>'🌱 Configuração'!D6+89</f>
        <v>89</v>
      </c>
      <c r="D95" s="33" t="s">
        <v>164</v>
      </c>
      <c r="E95" s="35" t="s">
        <v>210</v>
      </c>
      <c r="F95" s="36"/>
      <c r="G95" s="37"/>
      <c r="H95" s="35"/>
      <c r="I95" s="35"/>
    </row>
    <row r="96" spans="2:9" ht="19.5" customHeight="1" x14ac:dyDescent="0.3">
      <c r="B96" s="18" t="s">
        <v>216</v>
      </c>
      <c r="C96" s="19">
        <f>'🌱 Configuração'!D6+90</f>
        <v>90</v>
      </c>
      <c r="D96" s="33" t="s">
        <v>164</v>
      </c>
      <c r="E96" s="21" t="s">
        <v>210</v>
      </c>
      <c r="F96" s="22" t="s">
        <v>217</v>
      </c>
      <c r="G96" s="23" t="s">
        <v>218</v>
      </c>
      <c r="H96" s="21" t="s">
        <v>219</v>
      </c>
      <c r="I96" s="21" t="s">
        <v>220</v>
      </c>
    </row>
    <row r="97" spans="2:9" ht="19.5" customHeight="1" x14ac:dyDescent="0.3">
      <c r="B97" s="18" t="s">
        <v>221</v>
      </c>
      <c r="C97" s="34">
        <f>'🌱 Configuração'!D6+91</f>
        <v>91</v>
      </c>
      <c r="D97" s="33" t="s">
        <v>164</v>
      </c>
      <c r="E97" s="35" t="s">
        <v>222</v>
      </c>
      <c r="F97" s="36"/>
      <c r="G97" s="37"/>
      <c r="H97" s="35"/>
      <c r="I97" s="35"/>
    </row>
    <row r="98" spans="2:9" ht="19.5" customHeight="1" x14ac:dyDescent="0.3">
      <c r="B98" s="18" t="s">
        <v>223</v>
      </c>
      <c r="C98" s="19">
        <f>'🌱 Configuração'!D6+92</f>
        <v>92</v>
      </c>
      <c r="D98" s="33" t="s">
        <v>164</v>
      </c>
      <c r="E98" s="21" t="s">
        <v>222</v>
      </c>
      <c r="F98" s="22"/>
      <c r="G98" s="23"/>
      <c r="H98" s="21"/>
      <c r="I98" s="21"/>
    </row>
    <row r="99" spans="2:9" ht="19.5" customHeight="1" x14ac:dyDescent="0.3">
      <c r="B99" s="18" t="s">
        <v>224</v>
      </c>
      <c r="C99" s="34">
        <f>'🌱 Configuração'!D6+93</f>
        <v>93</v>
      </c>
      <c r="D99" s="33" t="s">
        <v>164</v>
      </c>
      <c r="E99" s="35" t="s">
        <v>222</v>
      </c>
      <c r="F99" s="36"/>
      <c r="G99" s="37"/>
      <c r="H99" s="35"/>
      <c r="I99" s="35"/>
    </row>
    <row r="100" spans="2:9" ht="19.5" customHeight="1" x14ac:dyDescent="0.3">
      <c r="B100" s="18" t="s">
        <v>225</v>
      </c>
      <c r="C100" s="19">
        <f>'🌱 Configuração'!D6+94</f>
        <v>94</v>
      </c>
      <c r="D100" s="33" t="s">
        <v>164</v>
      </c>
      <c r="E100" s="21" t="s">
        <v>222</v>
      </c>
      <c r="F100" s="22"/>
      <c r="G100" s="23"/>
      <c r="H100" s="21"/>
      <c r="I100" s="21"/>
    </row>
    <row r="101" spans="2:9" ht="19.5" customHeight="1" x14ac:dyDescent="0.3">
      <c r="B101" s="18" t="s">
        <v>226</v>
      </c>
      <c r="C101" s="34">
        <f>'🌱 Configuração'!D6+95</f>
        <v>95</v>
      </c>
      <c r="D101" s="33" t="s">
        <v>164</v>
      </c>
      <c r="E101" s="35" t="s">
        <v>222</v>
      </c>
      <c r="F101" s="36"/>
      <c r="G101" s="37"/>
      <c r="H101" s="35"/>
      <c r="I101" s="35"/>
    </row>
    <row r="102" spans="2:9" ht="19.5" customHeight="1" x14ac:dyDescent="0.3">
      <c r="B102" s="18" t="s">
        <v>227</v>
      </c>
      <c r="C102" s="19">
        <f>'🌱 Configuração'!D6+96</f>
        <v>96</v>
      </c>
      <c r="D102" s="33" t="s">
        <v>164</v>
      </c>
      <c r="E102" s="21" t="s">
        <v>222</v>
      </c>
      <c r="F102" s="22"/>
      <c r="G102" s="23"/>
      <c r="H102" s="21"/>
      <c r="I102" s="21"/>
    </row>
    <row r="103" spans="2:9" ht="19.5" customHeight="1" x14ac:dyDescent="0.3">
      <c r="B103" s="18" t="s">
        <v>228</v>
      </c>
      <c r="C103" s="34">
        <f>'🌱 Configuração'!D6+97</f>
        <v>97</v>
      </c>
      <c r="D103" s="33" t="s">
        <v>164</v>
      </c>
      <c r="E103" s="35" t="s">
        <v>222</v>
      </c>
      <c r="F103" s="36" t="s">
        <v>229</v>
      </c>
      <c r="G103" s="37"/>
      <c r="H103" s="35" t="s">
        <v>230</v>
      </c>
      <c r="I103" s="35"/>
    </row>
    <row r="104" spans="2:9" ht="19.5" customHeight="1" x14ac:dyDescent="0.3">
      <c r="B104" s="18" t="s">
        <v>231</v>
      </c>
      <c r="C104" s="19">
        <f>'🌱 Configuração'!D6+98</f>
        <v>98</v>
      </c>
      <c r="D104" s="33" t="s">
        <v>164</v>
      </c>
      <c r="E104" s="21" t="s">
        <v>232</v>
      </c>
      <c r="F104" s="22"/>
      <c r="G104" s="23"/>
      <c r="H104" s="21"/>
      <c r="I104" s="21"/>
    </row>
    <row r="105" spans="2:9" ht="19.5" customHeight="1" x14ac:dyDescent="0.3">
      <c r="B105" s="18" t="s">
        <v>233</v>
      </c>
      <c r="C105" s="34">
        <f>'🌱 Configuração'!D6+99</f>
        <v>99</v>
      </c>
      <c r="D105" s="33" t="s">
        <v>164</v>
      </c>
      <c r="E105" s="35" t="s">
        <v>232</v>
      </c>
      <c r="F105" s="36"/>
      <c r="G105" s="37"/>
      <c r="H105" s="35"/>
      <c r="I105" s="35"/>
    </row>
    <row r="106" spans="2:9" ht="19.5" customHeight="1" x14ac:dyDescent="0.3">
      <c r="B106" s="18" t="s">
        <v>234</v>
      </c>
      <c r="C106" s="19">
        <f>'🌱 Configuração'!D6+100</f>
        <v>100</v>
      </c>
      <c r="D106" s="33" t="s">
        <v>164</v>
      </c>
      <c r="E106" s="21" t="s">
        <v>232</v>
      </c>
      <c r="F106" s="22"/>
      <c r="G106" s="23"/>
      <c r="H106" s="21"/>
      <c r="I106" s="21"/>
    </row>
    <row r="107" spans="2:9" ht="19.5" customHeight="1" x14ac:dyDescent="0.3">
      <c r="B107" s="18" t="s">
        <v>235</v>
      </c>
      <c r="C107" s="34">
        <f>'🌱 Configuração'!D6+101</f>
        <v>101</v>
      </c>
      <c r="D107" s="33" t="s">
        <v>164</v>
      </c>
      <c r="E107" s="35" t="s">
        <v>232</v>
      </c>
      <c r="F107" s="36"/>
      <c r="G107" s="37"/>
      <c r="H107" s="35"/>
      <c r="I107" s="35"/>
    </row>
    <row r="108" spans="2:9" ht="19.5" customHeight="1" x14ac:dyDescent="0.3">
      <c r="B108" s="18" t="s">
        <v>236</v>
      </c>
      <c r="C108" s="19">
        <f>'🌱 Configuração'!D6+102</f>
        <v>102</v>
      </c>
      <c r="D108" s="33" t="s">
        <v>164</v>
      </c>
      <c r="E108" s="21" t="s">
        <v>232</v>
      </c>
      <c r="F108" s="22"/>
      <c r="G108" s="23"/>
      <c r="H108" s="21"/>
      <c r="I108" s="21"/>
    </row>
    <row r="109" spans="2:9" ht="19.5" customHeight="1" x14ac:dyDescent="0.3">
      <c r="B109" s="18" t="s">
        <v>237</v>
      </c>
      <c r="C109" s="34">
        <f>'🌱 Configuração'!D6+103</f>
        <v>103</v>
      </c>
      <c r="D109" s="33" t="s">
        <v>164</v>
      </c>
      <c r="E109" s="35" t="s">
        <v>232</v>
      </c>
      <c r="F109" s="36"/>
      <c r="G109" s="37"/>
      <c r="H109" s="35"/>
      <c r="I109" s="35"/>
    </row>
    <row r="110" spans="2:9" ht="19.5" customHeight="1" x14ac:dyDescent="0.3">
      <c r="B110" s="18" t="s">
        <v>238</v>
      </c>
      <c r="C110" s="19">
        <f>'🌱 Configuração'!D6+104</f>
        <v>104</v>
      </c>
      <c r="D110" s="33" t="s">
        <v>164</v>
      </c>
      <c r="E110" s="21" t="s">
        <v>232</v>
      </c>
      <c r="F110" s="22" t="s">
        <v>239</v>
      </c>
      <c r="G110" s="23"/>
      <c r="H110" s="21" t="s">
        <v>240</v>
      </c>
      <c r="I110" s="21" t="s">
        <v>241</v>
      </c>
    </row>
    <row r="111" spans="2:9" ht="19.5" customHeight="1" x14ac:dyDescent="0.3">
      <c r="B111" s="18" t="s">
        <v>242</v>
      </c>
      <c r="C111" s="34">
        <f>'🌱 Configuração'!D6+105</f>
        <v>105</v>
      </c>
      <c r="D111" s="33" t="s">
        <v>164</v>
      </c>
      <c r="E111" s="35" t="s">
        <v>243</v>
      </c>
      <c r="F111" s="36"/>
      <c r="G111" s="37"/>
      <c r="H111" s="35"/>
      <c r="I111" s="35"/>
    </row>
    <row r="112" spans="2:9" ht="19.5" customHeight="1" x14ac:dyDescent="0.3">
      <c r="B112" s="18" t="s">
        <v>244</v>
      </c>
      <c r="C112" s="19">
        <f>'🌱 Configuração'!D6+106</f>
        <v>106</v>
      </c>
      <c r="D112" s="33" t="s">
        <v>164</v>
      </c>
      <c r="E112" s="21" t="s">
        <v>243</v>
      </c>
      <c r="F112" s="22"/>
      <c r="G112" s="23"/>
      <c r="H112" s="21"/>
      <c r="I112" s="21"/>
    </row>
    <row r="113" spans="2:9" ht="19.5" customHeight="1" x14ac:dyDescent="0.3">
      <c r="B113" s="18" t="s">
        <v>245</v>
      </c>
      <c r="C113" s="34">
        <f>'🌱 Configuração'!D6+107</f>
        <v>107</v>
      </c>
      <c r="D113" s="33" t="s">
        <v>164</v>
      </c>
      <c r="E113" s="35" t="s">
        <v>243</v>
      </c>
      <c r="F113" s="36"/>
      <c r="G113" s="37"/>
      <c r="H113" s="35"/>
      <c r="I113" s="35"/>
    </row>
    <row r="114" spans="2:9" ht="19.5" customHeight="1" x14ac:dyDescent="0.3">
      <c r="B114" s="18" t="s">
        <v>246</v>
      </c>
      <c r="C114" s="19">
        <f>'🌱 Configuração'!D6+108</f>
        <v>108</v>
      </c>
      <c r="D114" s="33" t="s">
        <v>164</v>
      </c>
      <c r="E114" s="21" t="s">
        <v>243</v>
      </c>
      <c r="F114" s="22"/>
      <c r="G114" s="23"/>
      <c r="H114" s="21"/>
      <c r="I114" s="21"/>
    </row>
    <row r="115" spans="2:9" ht="19.5" customHeight="1" x14ac:dyDescent="0.3">
      <c r="B115" s="18" t="s">
        <v>247</v>
      </c>
      <c r="C115" s="34">
        <f>'🌱 Configuração'!D6+109</f>
        <v>109</v>
      </c>
      <c r="D115" s="33" t="s">
        <v>164</v>
      </c>
      <c r="E115" s="35" t="s">
        <v>243</v>
      </c>
      <c r="F115" s="36"/>
      <c r="G115" s="37"/>
      <c r="H115" s="35"/>
      <c r="I115" s="35"/>
    </row>
    <row r="116" spans="2:9" ht="19.5" customHeight="1" x14ac:dyDescent="0.3">
      <c r="B116" s="18" t="s">
        <v>248</v>
      </c>
      <c r="C116" s="19">
        <f>'🌱 Configuração'!D6+110</f>
        <v>110</v>
      </c>
      <c r="D116" s="33" t="s">
        <v>164</v>
      </c>
      <c r="E116" s="21" t="s">
        <v>243</v>
      </c>
      <c r="F116" s="22"/>
      <c r="G116" s="23"/>
      <c r="H116" s="21"/>
      <c r="I116" s="21"/>
    </row>
    <row r="117" spans="2:9" ht="19.5" customHeight="1" x14ac:dyDescent="0.3">
      <c r="B117" s="18" t="s">
        <v>249</v>
      </c>
      <c r="C117" s="34">
        <f>'🌱 Configuração'!D6+111</f>
        <v>111</v>
      </c>
      <c r="D117" s="33" t="s">
        <v>164</v>
      </c>
      <c r="E117" s="35" t="s">
        <v>243</v>
      </c>
      <c r="F117" s="36" t="s">
        <v>250</v>
      </c>
      <c r="G117" s="37"/>
      <c r="H117" s="35" t="s">
        <v>251</v>
      </c>
      <c r="I117" s="35"/>
    </row>
    <row r="118" spans="2:9" ht="19.5" customHeight="1" x14ac:dyDescent="0.3">
      <c r="B118" s="18" t="s">
        <v>252</v>
      </c>
      <c r="C118" s="19">
        <f>'🌱 Configuração'!D6+112</f>
        <v>112</v>
      </c>
      <c r="D118" s="33" t="s">
        <v>164</v>
      </c>
      <c r="E118" s="21" t="s">
        <v>253</v>
      </c>
      <c r="F118" s="22"/>
      <c r="G118" s="23"/>
      <c r="H118" s="21"/>
      <c r="I118" s="21"/>
    </row>
    <row r="119" spans="2:9" ht="19.5" customHeight="1" x14ac:dyDescent="0.3">
      <c r="B119" s="18" t="s">
        <v>254</v>
      </c>
      <c r="C119" s="34">
        <f>'🌱 Configuração'!D6+113</f>
        <v>113</v>
      </c>
      <c r="D119" s="33" t="s">
        <v>164</v>
      </c>
      <c r="E119" s="35" t="s">
        <v>253</v>
      </c>
      <c r="F119" s="36"/>
      <c r="G119" s="37"/>
      <c r="H119" s="35"/>
      <c r="I119" s="35"/>
    </row>
    <row r="120" spans="2:9" ht="19.5" customHeight="1" x14ac:dyDescent="0.3">
      <c r="B120" s="18" t="s">
        <v>255</v>
      </c>
      <c r="C120" s="19">
        <f>'🌱 Configuração'!D6+114</f>
        <v>114</v>
      </c>
      <c r="D120" s="33" t="s">
        <v>164</v>
      </c>
      <c r="E120" s="21" t="s">
        <v>253</v>
      </c>
      <c r="F120" s="22"/>
      <c r="G120" s="23"/>
      <c r="H120" s="21"/>
      <c r="I120" s="21"/>
    </row>
    <row r="121" spans="2:9" ht="19.5" customHeight="1" x14ac:dyDescent="0.3">
      <c r="B121" s="18" t="s">
        <v>256</v>
      </c>
      <c r="C121" s="34">
        <f>'🌱 Configuração'!D6+115</f>
        <v>115</v>
      </c>
      <c r="D121" s="33" t="s">
        <v>164</v>
      </c>
      <c r="E121" s="35" t="s">
        <v>253</v>
      </c>
      <c r="F121" s="36" t="s">
        <v>257</v>
      </c>
      <c r="G121" s="37"/>
      <c r="H121" s="35"/>
      <c r="I121" s="35"/>
    </row>
    <row r="122" spans="2:9" ht="19.5" customHeight="1" x14ac:dyDescent="0.3">
      <c r="B122" s="18" t="s">
        <v>258</v>
      </c>
      <c r="C122" s="19">
        <f>'🌱 Configuração'!D6+116</f>
        <v>116</v>
      </c>
      <c r="D122" s="33" t="s">
        <v>164</v>
      </c>
      <c r="E122" s="21" t="s">
        <v>253</v>
      </c>
      <c r="F122" s="22"/>
      <c r="G122" s="23"/>
      <c r="H122" s="21"/>
      <c r="I122" s="21"/>
    </row>
    <row r="123" spans="2:9" ht="19.5" customHeight="1" x14ac:dyDescent="0.3">
      <c r="B123" s="18" t="s">
        <v>259</v>
      </c>
      <c r="C123" s="34">
        <f>'🌱 Configuração'!D6+117</f>
        <v>117</v>
      </c>
      <c r="D123" s="33" t="s">
        <v>164</v>
      </c>
      <c r="E123" s="35" t="s">
        <v>253</v>
      </c>
      <c r="F123" s="36"/>
      <c r="G123" s="37"/>
      <c r="H123" s="35"/>
      <c r="I123" s="35"/>
    </row>
    <row r="124" spans="2:9" ht="19.5" customHeight="1" x14ac:dyDescent="0.3">
      <c r="B124" s="18" t="s">
        <v>260</v>
      </c>
      <c r="C124" s="19">
        <f>'🌱 Configuração'!D6+118</f>
        <v>118</v>
      </c>
      <c r="D124" s="33" t="s">
        <v>164</v>
      </c>
      <c r="E124" s="21" t="s">
        <v>253</v>
      </c>
      <c r="F124" s="22" t="s">
        <v>261</v>
      </c>
      <c r="G124" s="23"/>
      <c r="H124" s="21" t="s">
        <v>262</v>
      </c>
      <c r="I124" s="21" t="s">
        <v>263</v>
      </c>
    </row>
    <row r="125" spans="2:9" ht="19.5" customHeight="1" x14ac:dyDescent="0.3">
      <c r="B125" s="18" t="s">
        <v>264</v>
      </c>
      <c r="C125" s="38">
        <f>'🌱 Configuração'!D6+119</f>
        <v>119</v>
      </c>
      <c r="D125" s="39" t="s">
        <v>265</v>
      </c>
      <c r="E125" s="40" t="s">
        <v>266</v>
      </c>
      <c r="F125" s="41"/>
      <c r="G125" s="42"/>
      <c r="H125" s="40"/>
      <c r="I125" s="40"/>
    </row>
    <row r="126" spans="2:9" ht="19.5" customHeight="1" x14ac:dyDescent="0.3">
      <c r="B126" s="18" t="s">
        <v>267</v>
      </c>
      <c r="C126" s="19">
        <f>'🌱 Configuração'!D6+120</f>
        <v>120</v>
      </c>
      <c r="D126" s="39" t="s">
        <v>265</v>
      </c>
      <c r="E126" s="21" t="s">
        <v>266</v>
      </c>
      <c r="F126" s="22"/>
      <c r="G126" s="23"/>
      <c r="H126" s="21"/>
      <c r="I126" s="21"/>
    </row>
    <row r="127" spans="2:9" ht="19.5" customHeight="1" x14ac:dyDescent="0.3">
      <c r="B127" s="18" t="s">
        <v>268</v>
      </c>
      <c r="C127" s="38">
        <f>'🌱 Configuração'!D6+121</f>
        <v>121</v>
      </c>
      <c r="D127" s="39" t="s">
        <v>265</v>
      </c>
      <c r="E127" s="40" t="s">
        <v>266</v>
      </c>
      <c r="F127" s="41"/>
      <c r="G127" s="42"/>
      <c r="H127" s="40" t="s">
        <v>269</v>
      </c>
      <c r="I127" s="40"/>
    </row>
    <row r="128" spans="2:9" ht="19.5" customHeight="1" x14ac:dyDescent="0.3">
      <c r="B128" s="18" t="s">
        <v>270</v>
      </c>
      <c r="C128" s="19">
        <f>'🌱 Configuração'!D6+122</f>
        <v>122</v>
      </c>
      <c r="D128" s="39" t="s">
        <v>265</v>
      </c>
      <c r="E128" s="21" t="s">
        <v>266</v>
      </c>
      <c r="F128" s="22"/>
      <c r="G128" s="23"/>
      <c r="H128" s="21"/>
      <c r="I128" s="21"/>
    </row>
    <row r="129" spans="2:9" ht="19.5" customHeight="1" x14ac:dyDescent="0.3">
      <c r="B129" s="18" t="s">
        <v>271</v>
      </c>
      <c r="C129" s="38">
        <f>'🌱 Configuração'!D6+123</f>
        <v>123</v>
      </c>
      <c r="D129" s="39" t="s">
        <v>265</v>
      </c>
      <c r="E129" s="40" t="s">
        <v>266</v>
      </c>
      <c r="F129" s="41"/>
      <c r="G129" s="42"/>
      <c r="H129" s="40"/>
      <c r="I129" s="40"/>
    </row>
    <row r="130" spans="2:9" ht="19.5" customHeight="1" x14ac:dyDescent="0.3">
      <c r="B130" s="18" t="s">
        <v>272</v>
      </c>
      <c r="C130" s="19">
        <f>'🌱 Configuração'!D6+124</f>
        <v>124</v>
      </c>
      <c r="D130" s="39" t="s">
        <v>265</v>
      </c>
      <c r="E130" s="21" t="s">
        <v>266</v>
      </c>
      <c r="F130" s="22"/>
      <c r="G130" s="23"/>
      <c r="H130" s="21"/>
      <c r="I130" s="21"/>
    </row>
  </sheetData>
  <autoFilter ref="A5:J130"/>
  <mergeCells count="2">
    <mergeCell ref="B2:I2"/>
    <mergeCell ref="B3:I3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2B788"/>
  </sheetPr>
  <dimension ref="A2:K35"/>
  <sheetViews>
    <sheetView showGridLines="0" zoomScaleNormal="100" workbookViewId="0"/>
  </sheetViews>
  <sheetFormatPr defaultColWidth="8.6640625" defaultRowHeight="14.4" x14ac:dyDescent="0.3"/>
  <cols>
    <col min="1" max="1" width="3" style="15" customWidth="1"/>
    <col min="2" max="2" width="5" style="15" customWidth="1"/>
    <col min="3" max="3" width="16" style="15" customWidth="1"/>
    <col min="4" max="4" width="20" style="15" customWidth="1"/>
    <col min="5" max="5" width="18" style="15" customWidth="1"/>
    <col min="6" max="7" width="14" style="15" customWidth="1"/>
    <col min="8" max="8" width="16" style="15" customWidth="1"/>
    <col min="9" max="9" width="18" style="15" customWidth="1"/>
    <col min="10" max="10" width="3" style="15" customWidth="1"/>
  </cols>
  <sheetData>
    <row r="2" spans="2:11" ht="45" customHeight="1" x14ac:dyDescent="0.3">
      <c r="B2" s="82" t="s">
        <v>273</v>
      </c>
      <c r="C2" s="82"/>
      <c r="D2" s="82"/>
      <c r="E2" s="82"/>
      <c r="F2" s="82"/>
      <c r="G2" s="82"/>
      <c r="H2" s="82"/>
      <c r="I2" s="82"/>
    </row>
    <row r="3" spans="2:11" ht="18" customHeight="1" x14ac:dyDescent="0.3">
      <c r="B3" s="83" t="s">
        <v>274</v>
      </c>
      <c r="C3" s="83"/>
      <c r="D3" s="83"/>
      <c r="E3" s="83"/>
      <c r="F3" s="83"/>
      <c r="G3" s="83"/>
      <c r="H3" s="83"/>
      <c r="I3" s="83"/>
    </row>
    <row r="5" spans="2:11" ht="27.75" customHeight="1" x14ac:dyDescent="0.3">
      <c r="B5" s="84" t="s">
        <v>275</v>
      </c>
      <c r="C5" s="84"/>
      <c r="D5" s="84"/>
      <c r="E5" s="84"/>
      <c r="F5" s="84"/>
      <c r="G5" s="84"/>
      <c r="H5" s="84"/>
      <c r="I5" s="84"/>
    </row>
    <row r="6" spans="2:11" ht="24" customHeight="1" x14ac:dyDescent="0.3">
      <c r="B6" s="18" t="s">
        <v>276</v>
      </c>
      <c r="C6" s="18" t="s">
        <v>277</v>
      </c>
      <c r="D6" s="18" t="s">
        <v>278</v>
      </c>
      <c r="E6" s="18" t="s">
        <v>279</v>
      </c>
      <c r="F6" s="18" t="s">
        <v>280</v>
      </c>
      <c r="G6" s="18" t="s">
        <v>281</v>
      </c>
      <c r="H6" s="18" t="s">
        <v>282</v>
      </c>
      <c r="I6" s="18" t="s">
        <v>283</v>
      </c>
      <c r="J6" s="18" t="s">
        <v>284</v>
      </c>
      <c r="K6" s="18" t="s">
        <v>285</v>
      </c>
    </row>
    <row r="7" spans="2:11" ht="19.5" customHeight="1" x14ac:dyDescent="0.3">
      <c r="B7" s="43" t="s">
        <v>286</v>
      </c>
      <c r="C7" s="21" t="s">
        <v>287</v>
      </c>
      <c r="D7" s="44" t="s">
        <v>288</v>
      </c>
      <c r="E7" s="44" t="s">
        <v>289</v>
      </c>
      <c r="F7" s="44" t="s">
        <v>289</v>
      </c>
      <c r="G7" s="44" t="s">
        <v>289</v>
      </c>
      <c r="H7" s="44" t="s">
        <v>289</v>
      </c>
      <c r="I7" s="44" t="s">
        <v>290</v>
      </c>
      <c r="J7" s="44" t="s">
        <v>291</v>
      </c>
      <c r="K7" s="21" t="s">
        <v>292</v>
      </c>
    </row>
    <row r="8" spans="2:11" ht="19.5" customHeight="1" x14ac:dyDescent="0.3">
      <c r="B8" s="45" t="s">
        <v>293</v>
      </c>
      <c r="C8" s="25" t="s">
        <v>287</v>
      </c>
      <c r="D8" s="46" t="s">
        <v>288</v>
      </c>
      <c r="E8" s="46" t="s">
        <v>289</v>
      </c>
      <c r="F8" s="46" t="s">
        <v>289</v>
      </c>
      <c r="G8" s="46" t="s">
        <v>289</v>
      </c>
      <c r="H8" s="46" t="s">
        <v>289</v>
      </c>
      <c r="I8" s="46" t="s">
        <v>290</v>
      </c>
      <c r="J8" s="46" t="s">
        <v>291</v>
      </c>
      <c r="K8" s="25" t="s">
        <v>294</v>
      </c>
    </row>
    <row r="9" spans="2:11" ht="19.5" customHeight="1" x14ac:dyDescent="0.3">
      <c r="B9" s="43" t="s">
        <v>295</v>
      </c>
      <c r="C9" s="21" t="s">
        <v>296</v>
      </c>
      <c r="D9" s="44" t="s">
        <v>288</v>
      </c>
      <c r="E9" s="44" t="s">
        <v>288</v>
      </c>
      <c r="F9" s="44" t="s">
        <v>289</v>
      </c>
      <c r="G9" s="44" t="s">
        <v>289</v>
      </c>
      <c r="H9" s="44" t="s">
        <v>289</v>
      </c>
      <c r="I9" s="44" t="s">
        <v>290</v>
      </c>
      <c r="J9" s="44" t="s">
        <v>291</v>
      </c>
      <c r="K9" s="21" t="s">
        <v>297</v>
      </c>
    </row>
    <row r="10" spans="2:11" ht="19.5" customHeight="1" x14ac:dyDescent="0.3">
      <c r="B10" s="45" t="s">
        <v>298</v>
      </c>
      <c r="C10" s="25" t="s">
        <v>287</v>
      </c>
      <c r="D10" s="46" t="s">
        <v>288</v>
      </c>
      <c r="E10" s="46" t="s">
        <v>289</v>
      </c>
      <c r="F10" s="46" t="s">
        <v>289</v>
      </c>
      <c r="G10" s="46" t="s">
        <v>289</v>
      </c>
      <c r="H10" s="46" t="s">
        <v>299</v>
      </c>
      <c r="I10" s="46" t="s">
        <v>300</v>
      </c>
      <c r="J10" s="46" t="s">
        <v>301</v>
      </c>
      <c r="K10" s="25" t="s">
        <v>302</v>
      </c>
    </row>
    <row r="12" spans="2:11" ht="27.75" customHeight="1" x14ac:dyDescent="0.3">
      <c r="B12" s="85" t="s">
        <v>303</v>
      </c>
      <c r="C12" s="85"/>
      <c r="D12" s="85"/>
      <c r="E12" s="85"/>
      <c r="F12" s="85"/>
      <c r="G12" s="85"/>
      <c r="H12" s="85"/>
      <c r="I12" s="85"/>
    </row>
    <row r="13" spans="2:11" ht="24" customHeight="1" x14ac:dyDescent="0.3">
      <c r="B13" s="18" t="s">
        <v>276</v>
      </c>
      <c r="C13" s="18" t="s">
        <v>277</v>
      </c>
      <c r="D13" s="18" t="s">
        <v>278</v>
      </c>
      <c r="E13" s="18" t="s">
        <v>279</v>
      </c>
      <c r="F13" s="18" t="s">
        <v>280</v>
      </c>
      <c r="G13" s="18" t="s">
        <v>281</v>
      </c>
      <c r="H13" s="18" t="s">
        <v>282</v>
      </c>
      <c r="I13" s="18" t="s">
        <v>283</v>
      </c>
      <c r="J13" s="18" t="s">
        <v>284</v>
      </c>
      <c r="K13" s="18" t="s">
        <v>285</v>
      </c>
    </row>
    <row r="14" spans="2:11" ht="19.5" customHeight="1" x14ac:dyDescent="0.3">
      <c r="B14" s="47" t="s">
        <v>304</v>
      </c>
      <c r="C14" s="30" t="s">
        <v>305</v>
      </c>
      <c r="D14" s="48" t="s">
        <v>306</v>
      </c>
      <c r="E14" s="48" t="s">
        <v>307</v>
      </c>
      <c r="F14" s="48" t="s">
        <v>289</v>
      </c>
      <c r="G14" s="48" t="s">
        <v>289</v>
      </c>
      <c r="H14" s="48" t="s">
        <v>289</v>
      </c>
      <c r="I14" s="48" t="s">
        <v>300</v>
      </c>
      <c r="J14" s="48" t="s">
        <v>308</v>
      </c>
      <c r="K14" s="30" t="s">
        <v>309</v>
      </c>
    </row>
    <row r="15" spans="2:11" ht="19.5" customHeight="1" x14ac:dyDescent="0.3">
      <c r="B15" s="49" t="s">
        <v>310</v>
      </c>
      <c r="C15" s="21" t="s">
        <v>305</v>
      </c>
      <c r="D15" s="44" t="s">
        <v>311</v>
      </c>
      <c r="E15" s="44" t="s">
        <v>312</v>
      </c>
      <c r="F15" s="44" t="s">
        <v>289</v>
      </c>
      <c r="G15" s="44" t="s">
        <v>289</v>
      </c>
      <c r="H15" s="44" t="s">
        <v>313</v>
      </c>
      <c r="I15" s="44" t="s">
        <v>314</v>
      </c>
      <c r="J15" s="44" t="s">
        <v>315</v>
      </c>
      <c r="K15" s="21" t="s">
        <v>316</v>
      </c>
    </row>
    <row r="16" spans="2:11" ht="19.5" customHeight="1" x14ac:dyDescent="0.3">
      <c r="B16" s="47" t="s">
        <v>317</v>
      </c>
      <c r="C16" s="30" t="s">
        <v>305</v>
      </c>
      <c r="D16" s="48" t="s">
        <v>318</v>
      </c>
      <c r="E16" s="48" t="s">
        <v>312</v>
      </c>
      <c r="F16" s="48" t="s">
        <v>289</v>
      </c>
      <c r="G16" s="48" t="s">
        <v>289</v>
      </c>
      <c r="H16" s="48" t="s">
        <v>299</v>
      </c>
      <c r="I16" s="48" t="s">
        <v>314</v>
      </c>
      <c r="J16" s="48" t="s">
        <v>14</v>
      </c>
      <c r="K16" s="30" t="s">
        <v>319</v>
      </c>
    </row>
    <row r="17" spans="2:11" ht="19.5" customHeight="1" x14ac:dyDescent="0.3">
      <c r="B17" s="49" t="s">
        <v>320</v>
      </c>
      <c r="C17" s="21" t="s">
        <v>305</v>
      </c>
      <c r="D17" s="44" t="s">
        <v>318</v>
      </c>
      <c r="E17" s="44" t="s">
        <v>321</v>
      </c>
      <c r="F17" s="44" t="s">
        <v>289</v>
      </c>
      <c r="G17" s="44" t="s">
        <v>289</v>
      </c>
      <c r="H17" s="44" t="s">
        <v>313</v>
      </c>
      <c r="I17" s="44" t="s">
        <v>322</v>
      </c>
      <c r="J17" s="44" t="s">
        <v>323</v>
      </c>
      <c r="K17" s="21" t="s">
        <v>324</v>
      </c>
    </row>
    <row r="18" spans="2:11" ht="19.5" customHeight="1" x14ac:dyDescent="0.3">
      <c r="B18" s="47" t="s">
        <v>325</v>
      </c>
      <c r="C18" s="30" t="s">
        <v>305</v>
      </c>
      <c r="D18" s="48" t="s">
        <v>318</v>
      </c>
      <c r="E18" s="48" t="s">
        <v>321</v>
      </c>
      <c r="F18" s="48" t="s">
        <v>289</v>
      </c>
      <c r="G18" s="48" t="s">
        <v>289</v>
      </c>
      <c r="H18" s="48" t="s">
        <v>289</v>
      </c>
      <c r="I18" s="48" t="s">
        <v>322</v>
      </c>
      <c r="J18" s="48" t="s">
        <v>326</v>
      </c>
      <c r="K18" s="30" t="s">
        <v>327</v>
      </c>
    </row>
    <row r="19" spans="2:11" ht="19.5" customHeight="1" x14ac:dyDescent="0.3">
      <c r="B19" s="49" t="s">
        <v>328</v>
      </c>
      <c r="C19" s="21" t="s">
        <v>329</v>
      </c>
      <c r="D19" s="44" t="s">
        <v>306</v>
      </c>
      <c r="E19" s="44" t="s">
        <v>312</v>
      </c>
      <c r="F19" s="44" t="s">
        <v>330</v>
      </c>
      <c r="G19" s="44" t="s">
        <v>289</v>
      </c>
      <c r="H19" s="44" t="s">
        <v>289</v>
      </c>
      <c r="I19" s="44" t="s">
        <v>300</v>
      </c>
      <c r="J19" s="44" t="s">
        <v>323</v>
      </c>
      <c r="K19" s="21" t="s">
        <v>331</v>
      </c>
    </row>
    <row r="21" spans="2:11" ht="27.75" customHeight="1" x14ac:dyDescent="0.3">
      <c r="B21" s="86" t="s">
        <v>332</v>
      </c>
      <c r="C21" s="86"/>
      <c r="D21" s="86"/>
      <c r="E21" s="86"/>
      <c r="F21" s="86"/>
      <c r="G21" s="86"/>
      <c r="H21" s="86"/>
      <c r="I21" s="86"/>
    </row>
    <row r="22" spans="2:11" ht="24" customHeight="1" x14ac:dyDescent="0.3">
      <c r="B22" s="18" t="s">
        <v>276</v>
      </c>
      <c r="C22" s="18" t="s">
        <v>277</v>
      </c>
      <c r="D22" s="18" t="s">
        <v>278</v>
      </c>
      <c r="E22" s="18" t="s">
        <v>279</v>
      </c>
      <c r="F22" s="18" t="s">
        <v>280</v>
      </c>
      <c r="G22" s="18" t="s">
        <v>281</v>
      </c>
      <c r="H22" s="18" t="s">
        <v>282</v>
      </c>
      <c r="I22" s="18" t="s">
        <v>283</v>
      </c>
      <c r="J22" s="18" t="s">
        <v>284</v>
      </c>
      <c r="K22" s="18" t="s">
        <v>285</v>
      </c>
    </row>
    <row r="23" spans="2:11" ht="19.5" customHeight="1" x14ac:dyDescent="0.3">
      <c r="B23" s="50" t="s">
        <v>333</v>
      </c>
      <c r="C23" s="21" t="s">
        <v>329</v>
      </c>
      <c r="D23" s="44" t="s">
        <v>318</v>
      </c>
      <c r="E23" s="44" t="s">
        <v>312</v>
      </c>
      <c r="F23" s="44" t="s">
        <v>289</v>
      </c>
      <c r="G23" s="44" t="s">
        <v>334</v>
      </c>
      <c r="H23" s="44" t="s">
        <v>289</v>
      </c>
      <c r="I23" s="44" t="s">
        <v>300</v>
      </c>
      <c r="J23" s="44" t="s">
        <v>335</v>
      </c>
      <c r="K23" s="21" t="s">
        <v>336</v>
      </c>
    </row>
    <row r="24" spans="2:11" ht="19.5" customHeight="1" x14ac:dyDescent="0.3">
      <c r="B24" s="51" t="s">
        <v>337</v>
      </c>
      <c r="C24" s="35" t="s">
        <v>329</v>
      </c>
      <c r="D24" s="52" t="s">
        <v>318</v>
      </c>
      <c r="E24" s="52" t="s">
        <v>312</v>
      </c>
      <c r="F24" s="52" t="s">
        <v>330</v>
      </c>
      <c r="G24" s="52" t="s">
        <v>338</v>
      </c>
      <c r="H24" s="52" t="s">
        <v>289</v>
      </c>
      <c r="I24" s="52" t="s">
        <v>300</v>
      </c>
      <c r="J24" s="52" t="s">
        <v>339</v>
      </c>
      <c r="K24" s="35" t="s">
        <v>340</v>
      </c>
    </row>
    <row r="25" spans="2:11" ht="19.5" customHeight="1" x14ac:dyDescent="0.3">
      <c r="B25" s="50" t="s">
        <v>341</v>
      </c>
      <c r="C25" s="21" t="s">
        <v>329</v>
      </c>
      <c r="D25" s="44" t="s">
        <v>342</v>
      </c>
      <c r="E25" s="44" t="s">
        <v>312</v>
      </c>
      <c r="F25" s="44" t="s">
        <v>343</v>
      </c>
      <c r="G25" s="44" t="s">
        <v>338</v>
      </c>
      <c r="H25" s="44" t="s">
        <v>344</v>
      </c>
      <c r="I25" s="44" t="s">
        <v>314</v>
      </c>
      <c r="J25" s="44" t="s">
        <v>345</v>
      </c>
      <c r="K25" s="21" t="s">
        <v>346</v>
      </c>
    </row>
    <row r="26" spans="2:11" ht="19.5" customHeight="1" x14ac:dyDescent="0.3">
      <c r="B26" s="51" t="s">
        <v>347</v>
      </c>
      <c r="C26" s="35" t="s">
        <v>329</v>
      </c>
      <c r="D26" s="52" t="s">
        <v>342</v>
      </c>
      <c r="E26" s="52" t="s">
        <v>312</v>
      </c>
      <c r="F26" s="52" t="s">
        <v>348</v>
      </c>
      <c r="G26" s="52" t="s">
        <v>338</v>
      </c>
      <c r="H26" s="52" t="s">
        <v>344</v>
      </c>
      <c r="I26" s="52" t="s">
        <v>314</v>
      </c>
      <c r="J26" s="52" t="s">
        <v>349</v>
      </c>
      <c r="K26" s="35" t="s">
        <v>350</v>
      </c>
    </row>
    <row r="27" spans="2:11" ht="19.5" customHeight="1" x14ac:dyDescent="0.3">
      <c r="B27" s="50" t="s">
        <v>351</v>
      </c>
      <c r="C27" s="21" t="s">
        <v>329</v>
      </c>
      <c r="D27" s="44" t="s">
        <v>318</v>
      </c>
      <c r="E27" s="44" t="s">
        <v>352</v>
      </c>
      <c r="F27" s="44" t="s">
        <v>343</v>
      </c>
      <c r="G27" s="44" t="s">
        <v>338</v>
      </c>
      <c r="H27" s="44" t="s">
        <v>313</v>
      </c>
      <c r="I27" s="44" t="s">
        <v>314</v>
      </c>
      <c r="J27" s="44" t="s">
        <v>345</v>
      </c>
      <c r="K27" s="21" t="s">
        <v>353</v>
      </c>
    </row>
    <row r="28" spans="2:11" ht="19.5" customHeight="1" x14ac:dyDescent="0.3">
      <c r="B28" s="51" t="s">
        <v>354</v>
      </c>
      <c r="C28" s="35" t="s">
        <v>329</v>
      </c>
      <c r="D28" s="52" t="s">
        <v>318</v>
      </c>
      <c r="E28" s="52" t="s">
        <v>289</v>
      </c>
      <c r="F28" s="52" t="s">
        <v>289</v>
      </c>
      <c r="G28" s="52" t="s">
        <v>334</v>
      </c>
      <c r="H28" s="52" t="s">
        <v>313</v>
      </c>
      <c r="I28" s="52" t="s">
        <v>300</v>
      </c>
      <c r="J28" s="52" t="s">
        <v>335</v>
      </c>
      <c r="K28" s="35" t="s">
        <v>355</v>
      </c>
    </row>
    <row r="29" spans="2:11" ht="19.5" customHeight="1" x14ac:dyDescent="0.3">
      <c r="B29" s="50" t="s">
        <v>356</v>
      </c>
      <c r="C29" s="21" t="s">
        <v>329</v>
      </c>
      <c r="D29" s="44" t="s">
        <v>311</v>
      </c>
      <c r="E29" s="44" t="s">
        <v>289</v>
      </c>
      <c r="F29" s="44" t="s">
        <v>289</v>
      </c>
      <c r="G29" s="44" t="s">
        <v>289</v>
      </c>
      <c r="H29" s="44" t="s">
        <v>289</v>
      </c>
      <c r="I29" s="44" t="s">
        <v>300</v>
      </c>
      <c r="J29" s="44" t="s">
        <v>323</v>
      </c>
      <c r="K29" s="21" t="s">
        <v>357</v>
      </c>
    </row>
    <row r="30" spans="2:11" ht="19.5" customHeight="1" x14ac:dyDescent="0.3">
      <c r="B30" s="51" t="s">
        <v>358</v>
      </c>
      <c r="C30" s="35" t="s">
        <v>329</v>
      </c>
      <c r="D30" s="52" t="s">
        <v>306</v>
      </c>
      <c r="E30" s="52" t="s">
        <v>289</v>
      </c>
      <c r="F30" s="52" t="s">
        <v>289</v>
      </c>
      <c r="G30" s="52" t="s">
        <v>289</v>
      </c>
      <c r="H30" s="52" t="s">
        <v>313</v>
      </c>
      <c r="I30" s="52" t="s">
        <v>300</v>
      </c>
      <c r="J30" s="52" t="s">
        <v>308</v>
      </c>
      <c r="K30" s="35" t="s">
        <v>359</v>
      </c>
    </row>
    <row r="32" spans="2:11" ht="27.75" customHeight="1" x14ac:dyDescent="0.3">
      <c r="B32" s="87" t="s">
        <v>360</v>
      </c>
      <c r="C32" s="87"/>
      <c r="D32" s="87"/>
      <c r="E32" s="87"/>
      <c r="F32" s="87"/>
      <c r="G32" s="87"/>
      <c r="H32" s="87"/>
      <c r="I32" s="87"/>
    </row>
    <row r="33" spans="2:11" ht="24" customHeight="1" x14ac:dyDescent="0.3">
      <c r="B33" s="18" t="s">
        <v>276</v>
      </c>
      <c r="C33" s="18" t="s">
        <v>277</v>
      </c>
      <c r="D33" s="18" t="s">
        <v>278</v>
      </c>
      <c r="E33" s="18" t="s">
        <v>279</v>
      </c>
      <c r="F33" s="18" t="s">
        <v>280</v>
      </c>
      <c r="G33" s="18" t="s">
        <v>281</v>
      </c>
      <c r="H33" s="18" t="s">
        <v>282</v>
      </c>
      <c r="I33" s="18" t="s">
        <v>283</v>
      </c>
      <c r="J33" s="18" t="s">
        <v>284</v>
      </c>
      <c r="K33" s="18" t="s">
        <v>285</v>
      </c>
    </row>
    <row r="34" spans="2:11" ht="19.5" customHeight="1" x14ac:dyDescent="0.3">
      <c r="B34" s="53" t="s">
        <v>361</v>
      </c>
      <c r="C34" s="40" t="s">
        <v>362</v>
      </c>
      <c r="D34" s="54" t="s">
        <v>289</v>
      </c>
      <c r="E34" s="54" t="s">
        <v>289</v>
      </c>
      <c r="F34" s="54" t="s">
        <v>289</v>
      </c>
      <c r="G34" s="54" t="s">
        <v>289</v>
      </c>
      <c r="H34" s="54" t="s">
        <v>363</v>
      </c>
      <c r="I34" s="54" t="s">
        <v>300</v>
      </c>
      <c r="J34" s="54" t="s">
        <v>364</v>
      </c>
      <c r="K34" s="40" t="s">
        <v>365</v>
      </c>
    </row>
    <row r="35" spans="2:11" ht="19.5" customHeight="1" x14ac:dyDescent="0.3">
      <c r="B35" s="55" t="s">
        <v>366</v>
      </c>
      <c r="C35" s="21" t="s">
        <v>362</v>
      </c>
      <c r="D35" s="44" t="s">
        <v>289</v>
      </c>
      <c r="E35" s="44" t="s">
        <v>289</v>
      </c>
      <c r="F35" s="44" t="s">
        <v>289</v>
      </c>
      <c r="G35" s="44" t="s">
        <v>289</v>
      </c>
      <c r="H35" s="44" t="s">
        <v>289</v>
      </c>
      <c r="I35" s="44" t="s">
        <v>300</v>
      </c>
      <c r="J35" s="44" t="s">
        <v>367</v>
      </c>
      <c r="K35" s="21" t="s">
        <v>368</v>
      </c>
    </row>
  </sheetData>
  <mergeCells count="6">
    <mergeCell ref="B32:I32"/>
    <mergeCell ref="B2:I2"/>
    <mergeCell ref="B3:I3"/>
    <mergeCell ref="B5:I5"/>
    <mergeCell ref="B12:I12"/>
    <mergeCell ref="B21:I21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3946"/>
  </sheetPr>
  <dimension ref="A2:I51"/>
  <sheetViews>
    <sheetView showGridLines="0" topLeftCell="B1" zoomScaleNormal="100" workbookViewId="0">
      <selection activeCell="B14" sqref="B14:H14"/>
    </sheetView>
  </sheetViews>
  <sheetFormatPr defaultColWidth="8.6640625" defaultRowHeight="14.4" x14ac:dyDescent="0.3"/>
  <cols>
    <col min="1" max="1" width="3" style="15" customWidth="1"/>
    <col min="2" max="2" width="45.6640625" style="15" bestFit="1" customWidth="1"/>
    <col min="3" max="3" width="15.109375" style="15" bestFit="1" customWidth="1"/>
    <col min="4" max="4" width="23.5546875" style="15" bestFit="1" customWidth="1"/>
    <col min="5" max="5" width="37.77734375" style="15" bestFit="1" customWidth="1"/>
    <col min="6" max="6" width="18.5546875" style="15" bestFit="1" customWidth="1"/>
    <col min="7" max="7" width="23.6640625" style="15" bestFit="1" customWidth="1"/>
    <col min="8" max="8" width="35.21875" style="15" bestFit="1" customWidth="1"/>
    <col min="9" max="9" width="3" style="15" customWidth="1"/>
  </cols>
  <sheetData>
    <row r="2" spans="2:8" ht="45" customHeight="1" x14ac:dyDescent="0.3">
      <c r="B2" s="82" t="s">
        <v>369</v>
      </c>
      <c r="C2" s="82"/>
      <c r="D2" s="82"/>
      <c r="E2" s="82"/>
      <c r="F2" s="82"/>
      <c r="G2" s="82"/>
      <c r="H2" s="82"/>
    </row>
    <row r="3" spans="2:8" ht="18" customHeight="1" x14ac:dyDescent="0.3">
      <c r="B3" s="88" t="s">
        <v>370</v>
      </c>
      <c r="C3" s="88"/>
      <c r="D3" s="88"/>
      <c r="E3" s="88"/>
      <c r="F3" s="88"/>
      <c r="G3" s="88"/>
      <c r="H3" s="88"/>
    </row>
    <row r="5" spans="2:8" ht="27.75" customHeight="1" x14ac:dyDescent="0.3">
      <c r="B5" s="89" t="s">
        <v>371</v>
      </c>
      <c r="C5" s="89"/>
      <c r="D5" s="89"/>
      <c r="E5" s="89"/>
      <c r="F5" s="89"/>
      <c r="G5" s="89"/>
      <c r="H5" s="89"/>
    </row>
    <row r="6" spans="2:8" ht="24" customHeight="1" x14ac:dyDescent="0.3">
      <c r="B6" s="57" t="s">
        <v>372</v>
      </c>
      <c r="C6" s="57" t="s">
        <v>278</v>
      </c>
      <c r="D6" s="57" t="s">
        <v>373</v>
      </c>
      <c r="E6" s="57" t="s">
        <v>374</v>
      </c>
      <c r="F6" s="57" t="s">
        <v>375</v>
      </c>
      <c r="G6" s="57" t="s">
        <v>285</v>
      </c>
    </row>
    <row r="7" spans="2:8" ht="21.75" customHeight="1" x14ac:dyDescent="0.3">
      <c r="B7" s="58" t="s">
        <v>376</v>
      </c>
      <c r="C7" s="58" t="s">
        <v>377</v>
      </c>
      <c r="D7" s="58" t="s">
        <v>378</v>
      </c>
      <c r="E7" s="58" t="s">
        <v>379</v>
      </c>
      <c r="F7" s="58" t="s">
        <v>380</v>
      </c>
      <c r="G7" s="58" t="s">
        <v>381</v>
      </c>
    </row>
    <row r="8" spans="2:8" ht="21.75" customHeight="1" x14ac:dyDescent="0.3">
      <c r="B8" s="21" t="s">
        <v>382</v>
      </c>
      <c r="C8" s="21" t="s">
        <v>383</v>
      </c>
      <c r="D8" s="21" t="s">
        <v>384</v>
      </c>
      <c r="E8" s="21" t="s">
        <v>385</v>
      </c>
      <c r="F8" s="21" t="s">
        <v>386</v>
      </c>
      <c r="G8" s="21" t="s">
        <v>387</v>
      </c>
    </row>
    <row r="9" spans="2:8" ht="21.75" customHeight="1" x14ac:dyDescent="0.3">
      <c r="B9" s="58" t="s">
        <v>388</v>
      </c>
      <c r="C9" s="58" t="s">
        <v>389</v>
      </c>
      <c r="D9" s="58" t="s">
        <v>390</v>
      </c>
      <c r="E9" s="58" t="s">
        <v>391</v>
      </c>
      <c r="F9" s="58" t="s">
        <v>392</v>
      </c>
      <c r="G9" s="58" t="s">
        <v>393</v>
      </c>
    </row>
    <row r="10" spans="2:8" ht="21.75" customHeight="1" x14ac:dyDescent="0.3">
      <c r="B10" s="21" t="s">
        <v>394</v>
      </c>
      <c r="C10" s="21" t="s">
        <v>318</v>
      </c>
      <c r="D10" s="21" t="s">
        <v>395</v>
      </c>
      <c r="E10" s="21" t="s">
        <v>396</v>
      </c>
      <c r="F10" s="21" t="s">
        <v>397</v>
      </c>
      <c r="G10" s="21" t="s">
        <v>398</v>
      </c>
    </row>
    <row r="11" spans="2:8" ht="21.75" customHeight="1" x14ac:dyDescent="0.3">
      <c r="B11" s="58" t="s">
        <v>399</v>
      </c>
      <c r="C11" s="58" t="s">
        <v>400</v>
      </c>
      <c r="D11" s="58" t="s">
        <v>395</v>
      </c>
      <c r="E11" s="58" t="s">
        <v>401</v>
      </c>
      <c r="F11" s="58" t="s">
        <v>402</v>
      </c>
      <c r="G11" s="58" t="s">
        <v>403</v>
      </c>
    </row>
    <row r="12" spans="2:8" ht="21.75" customHeight="1" x14ac:dyDescent="0.3">
      <c r="B12" s="21" t="s">
        <v>404</v>
      </c>
      <c r="C12" s="21" t="s">
        <v>318</v>
      </c>
      <c r="D12" s="21" t="s">
        <v>395</v>
      </c>
      <c r="E12" s="21" t="s">
        <v>405</v>
      </c>
      <c r="F12" s="21" t="s">
        <v>406</v>
      </c>
      <c r="G12" s="21" t="s">
        <v>407</v>
      </c>
    </row>
    <row r="13" spans="2:8" ht="36" customHeight="1" x14ac:dyDescent="0.3">
      <c r="B13" s="59" t="s">
        <v>408</v>
      </c>
      <c r="C13" s="60" t="s">
        <v>409</v>
      </c>
      <c r="D13" s="60" t="s">
        <v>410</v>
      </c>
      <c r="E13" s="60" t="s">
        <v>411</v>
      </c>
      <c r="F13" s="60" t="s">
        <v>412</v>
      </c>
      <c r="G13" s="60" t="s">
        <v>413</v>
      </c>
    </row>
    <row r="14" spans="2:8" ht="36" customHeight="1" x14ac:dyDescent="0.3">
      <c r="B14" s="90" t="s">
        <v>414</v>
      </c>
      <c r="C14" s="90" t="s">
        <v>415</v>
      </c>
      <c r="D14" s="90" t="s">
        <v>416</v>
      </c>
      <c r="E14" s="90" t="s">
        <v>417</v>
      </c>
      <c r="F14" s="90" t="s">
        <v>418</v>
      </c>
      <c r="G14" s="90" t="s">
        <v>419</v>
      </c>
      <c r="H14" s="90"/>
    </row>
    <row r="16" spans="2:8" ht="27.6" x14ac:dyDescent="0.3">
      <c r="B16" s="56" t="s">
        <v>420</v>
      </c>
      <c r="C16" s="61"/>
      <c r="D16" s="61"/>
      <c r="E16" s="61"/>
      <c r="F16" s="61"/>
      <c r="G16" s="61"/>
      <c r="H16" s="61"/>
    </row>
    <row r="17" spans="2:8" ht="21.75" customHeight="1" x14ac:dyDescent="0.3">
      <c r="B17" s="16" t="s">
        <v>62</v>
      </c>
      <c r="C17" s="16" t="s">
        <v>63</v>
      </c>
      <c r="D17" s="16" t="s">
        <v>31</v>
      </c>
      <c r="E17" s="16" t="s">
        <v>372</v>
      </c>
      <c r="F17" s="16" t="s">
        <v>278</v>
      </c>
      <c r="G17" s="16" t="s">
        <v>421</v>
      </c>
      <c r="H17" s="16" t="s">
        <v>285</v>
      </c>
    </row>
    <row r="18" spans="2:8" ht="21.75" customHeight="1" x14ac:dyDescent="0.3">
      <c r="B18" s="46" t="s">
        <v>73</v>
      </c>
      <c r="C18" s="24">
        <f>'🌱 Configuração'!D6+1</f>
        <v>1</v>
      </c>
      <c r="D18" s="25" t="s">
        <v>70</v>
      </c>
      <c r="E18" s="25" t="s">
        <v>422</v>
      </c>
      <c r="F18" s="25" t="s">
        <v>311</v>
      </c>
      <c r="G18" s="25" t="s">
        <v>423</v>
      </c>
      <c r="H18" s="25" t="s">
        <v>424</v>
      </c>
    </row>
    <row r="19" spans="2:8" ht="21.75" customHeight="1" x14ac:dyDescent="0.3">
      <c r="B19" s="44" t="s">
        <v>16</v>
      </c>
      <c r="C19" s="19">
        <f>'🌱 Configuração'!D6+6</f>
        <v>6</v>
      </c>
      <c r="D19" s="21" t="s">
        <v>70</v>
      </c>
      <c r="E19" s="21" t="s">
        <v>425</v>
      </c>
      <c r="F19" s="21" t="s">
        <v>426</v>
      </c>
      <c r="G19" s="21" t="s">
        <v>427</v>
      </c>
      <c r="H19" s="21" t="s">
        <v>428</v>
      </c>
    </row>
    <row r="20" spans="2:8" ht="21.75" customHeight="1" x14ac:dyDescent="0.3">
      <c r="B20" s="46" t="s">
        <v>86</v>
      </c>
      <c r="C20" s="24">
        <f>'🌱 Configuração'!D6+9</f>
        <v>9</v>
      </c>
      <c r="D20" s="25" t="s">
        <v>70</v>
      </c>
      <c r="E20" s="25" t="s">
        <v>429</v>
      </c>
      <c r="F20" s="25" t="s">
        <v>318</v>
      </c>
      <c r="G20" s="25" t="s">
        <v>395</v>
      </c>
      <c r="H20" s="25" t="s">
        <v>430</v>
      </c>
    </row>
    <row r="21" spans="2:8" ht="21.75" customHeight="1" x14ac:dyDescent="0.3">
      <c r="B21" s="44" t="s">
        <v>5</v>
      </c>
      <c r="C21" s="19">
        <f>'🌱 Configuração'!D6+13</f>
        <v>13</v>
      </c>
      <c r="D21" s="21" t="s">
        <v>70</v>
      </c>
      <c r="E21" s="21" t="s">
        <v>422</v>
      </c>
      <c r="F21" s="21" t="s">
        <v>311</v>
      </c>
      <c r="G21" s="21" t="s">
        <v>395</v>
      </c>
      <c r="H21" s="21" t="s">
        <v>431</v>
      </c>
    </row>
    <row r="22" spans="2:8" ht="21.75" customHeight="1" x14ac:dyDescent="0.3">
      <c r="B22" s="48" t="s">
        <v>103</v>
      </c>
      <c r="C22" s="29">
        <f>'🌱 Configuração'!D6+20</f>
        <v>20</v>
      </c>
      <c r="D22" s="30" t="s">
        <v>94</v>
      </c>
      <c r="E22" s="30" t="s">
        <v>425</v>
      </c>
      <c r="F22" s="30" t="s">
        <v>426</v>
      </c>
      <c r="G22" s="30" t="s">
        <v>427</v>
      </c>
      <c r="H22" s="30"/>
    </row>
    <row r="23" spans="2:8" ht="21.75" customHeight="1" x14ac:dyDescent="0.3">
      <c r="B23" s="44" t="s">
        <v>115</v>
      </c>
      <c r="C23" s="19">
        <f>'🌱 Configuração'!D6+27</f>
        <v>27</v>
      </c>
      <c r="D23" s="21" t="s">
        <v>94</v>
      </c>
      <c r="E23" s="21" t="s">
        <v>432</v>
      </c>
      <c r="F23" s="21" t="s">
        <v>433</v>
      </c>
      <c r="G23" s="21" t="s">
        <v>395</v>
      </c>
      <c r="H23" s="21" t="s">
        <v>434</v>
      </c>
    </row>
    <row r="24" spans="2:8" ht="21.75" customHeight="1" x14ac:dyDescent="0.3">
      <c r="B24" s="48" t="s">
        <v>127</v>
      </c>
      <c r="C24" s="29">
        <f>'🌱 Configuração'!D6+34</f>
        <v>34</v>
      </c>
      <c r="D24" s="30" t="s">
        <v>94</v>
      </c>
      <c r="E24" s="30" t="s">
        <v>435</v>
      </c>
      <c r="F24" s="30" t="s">
        <v>436</v>
      </c>
      <c r="G24" s="30" t="s">
        <v>437</v>
      </c>
      <c r="H24" s="30" t="s">
        <v>438</v>
      </c>
    </row>
    <row r="25" spans="2:8" ht="21.75" customHeight="1" x14ac:dyDescent="0.3">
      <c r="B25" s="44" t="s">
        <v>8</v>
      </c>
      <c r="C25" s="19">
        <f>'🌱 Configuração'!D6+41</f>
        <v>41</v>
      </c>
      <c r="D25" s="21" t="s">
        <v>94</v>
      </c>
      <c r="E25" s="21" t="s">
        <v>422</v>
      </c>
      <c r="F25" s="21" t="s">
        <v>311</v>
      </c>
      <c r="G25" s="21" t="s">
        <v>395</v>
      </c>
      <c r="H25" s="21" t="s">
        <v>439</v>
      </c>
    </row>
    <row r="26" spans="2:8" ht="21.75" customHeight="1" x14ac:dyDescent="0.3">
      <c r="B26" s="52" t="s">
        <v>154</v>
      </c>
      <c r="C26" s="34">
        <f>'🌱 Configuração'!D6+48</f>
        <v>48</v>
      </c>
      <c r="D26" s="35" t="s">
        <v>164</v>
      </c>
      <c r="E26" s="35" t="s">
        <v>425</v>
      </c>
      <c r="F26" s="35" t="s">
        <v>426</v>
      </c>
      <c r="G26" s="35" t="s">
        <v>440</v>
      </c>
      <c r="H26" s="35" t="s">
        <v>441</v>
      </c>
    </row>
    <row r="27" spans="2:8" ht="21.75" customHeight="1" x14ac:dyDescent="0.3">
      <c r="B27" s="44" t="s">
        <v>161</v>
      </c>
      <c r="C27" s="19">
        <f>'🌱 Configuração'!D6+55</f>
        <v>55</v>
      </c>
      <c r="D27" s="21" t="s">
        <v>164</v>
      </c>
      <c r="E27" s="21" t="s">
        <v>435</v>
      </c>
      <c r="F27" s="21" t="s">
        <v>436</v>
      </c>
      <c r="G27" s="21" t="s">
        <v>437</v>
      </c>
      <c r="H27" s="21"/>
    </row>
    <row r="28" spans="2:8" ht="21.75" customHeight="1" x14ac:dyDescent="0.3">
      <c r="B28" s="52" t="s">
        <v>12</v>
      </c>
      <c r="C28" s="34">
        <f>'🌱 Configuração'!D6+62</f>
        <v>62</v>
      </c>
      <c r="D28" s="35" t="s">
        <v>164</v>
      </c>
      <c r="E28" s="35" t="s">
        <v>442</v>
      </c>
      <c r="F28" s="35" t="s">
        <v>400</v>
      </c>
      <c r="G28" s="35" t="s">
        <v>440</v>
      </c>
      <c r="H28" s="35" t="s">
        <v>443</v>
      </c>
    </row>
    <row r="29" spans="2:8" ht="21.75" customHeight="1" x14ac:dyDescent="0.3">
      <c r="B29" s="44" t="s">
        <v>183</v>
      </c>
      <c r="C29" s="19">
        <f>'🌱 Configuração'!D6+69</f>
        <v>69</v>
      </c>
      <c r="D29" s="21" t="s">
        <v>164</v>
      </c>
      <c r="E29" s="21" t="s">
        <v>425</v>
      </c>
      <c r="F29" s="21" t="s">
        <v>426</v>
      </c>
      <c r="G29" s="21" t="s">
        <v>440</v>
      </c>
      <c r="H29" s="21" t="s">
        <v>444</v>
      </c>
    </row>
    <row r="30" spans="2:8" ht="21.75" customHeight="1" x14ac:dyDescent="0.3">
      <c r="B30" s="52" t="s">
        <v>195</v>
      </c>
      <c r="C30" s="34">
        <f>'🌱 Configuração'!D6+76</f>
        <v>76</v>
      </c>
      <c r="D30" s="35" t="s">
        <v>164</v>
      </c>
      <c r="E30" s="35" t="s">
        <v>435</v>
      </c>
      <c r="F30" s="35" t="s">
        <v>436</v>
      </c>
      <c r="G30" s="35" t="s">
        <v>437</v>
      </c>
      <c r="H30" s="35"/>
    </row>
    <row r="31" spans="2:8" ht="22.8" x14ac:dyDescent="0.3">
      <c r="B31" s="44" t="s">
        <v>205</v>
      </c>
      <c r="C31" s="19">
        <f>'🌱 Configuração'!D6+83</f>
        <v>83</v>
      </c>
      <c r="D31" s="21" t="s">
        <v>164</v>
      </c>
      <c r="E31" s="21" t="s">
        <v>445</v>
      </c>
      <c r="F31" s="21" t="s">
        <v>289</v>
      </c>
      <c r="G31" s="21" t="s">
        <v>446</v>
      </c>
      <c r="H31" s="21" t="s">
        <v>447</v>
      </c>
    </row>
    <row r="32" spans="2:8" ht="22.8" x14ac:dyDescent="0.3">
      <c r="B32" s="52" t="s">
        <v>216</v>
      </c>
      <c r="C32" s="34">
        <f>'🌱 Configuração'!D6+90</f>
        <v>90</v>
      </c>
      <c r="D32" s="35" t="s">
        <v>164</v>
      </c>
      <c r="E32" s="35" t="s">
        <v>448</v>
      </c>
      <c r="F32" s="35" t="s">
        <v>289</v>
      </c>
      <c r="G32" s="35" t="s">
        <v>449</v>
      </c>
      <c r="H32" s="35" t="s">
        <v>450</v>
      </c>
    </row>
    <row r="37" spans="2:8" ht="21.75" customHeight="1" x14ac:dyDescent="0.3">
      <c r="B37" s="18" t="s">
        <v>5</v>
      </c>
      <c r="C37" s="24">
        <f>'🌱 Configuração'!D6+13</f>
        <v>13</v>
      </c>
      <c r="D37" s="62" t="s">
        <v>70</v>
      </c>
      <c r="E37" s="62" t="s">
        <v>451</v>
      </c>
      <c r="F37" s="46" t="s">
        <v>452</v>
      </c>
      <c r="G37" s="25" t="s">
        <v>453</v>
      </c>
      <c r="H37" s="25" t="s">
        <v>454</v>
      </c>
    </row>
    <row r="38" spans="2:8" ht="21.75" customHeight="1" x14ac:dyDescent="0.3">
      <c r="B38" s="18" t="s">
        <v>115</v>
      </c>
      <c r="C38" s="29">
        <f>'🌱 Configuração'!D6+27</f>
        <v>27</v>
      </c>
      <c r="D38" s="63" t="s">
        <v>94</v>
      </c>
      <c r="E38" s="63" t="s">
        <v>455</v>
      </c>
      <c r="F38" s="48" t="s">
        <v>456</v>
      </c>
      <c r="G38" s="30" t="s">
        <v>453</v>
      </c>
      <c r="H38" s="30" t="s">
        <v>457</v>
      </c>
    </row>
    <row r="39" spans="2:8" ht="21.75" customHeight="1" x14ac:dyDescent="0.3">
      <c r="B39" s="18" t="s">
        <v>127</v>
      </c>
      <c r="C39" s="29">
        <f>'🌱 Configuração'!D6+34</f>
        <v>34</v>
      </c>
      <c r="D39" s="63" t="s">
        <v>94</v>
      </c>
      <c r="E39" s="63" t="s">
        <v>451</v>
      </c>
      <c r="F39" s="48" t="s">
        <v>452</v>
      </c>
      <c r="G39" s="30" t="s">
        <v>395</v>
      </c>
      <c r="H39" s="30" t="s">
        <v>458</v>
      </c>
    </row>
    <row r="40" spans="2:8" ht="21.75" customHeight="1" x14ac:dyDescent="0.3">
      <c r="B40" s="18" t="s">
        <v>8</v>
      </c>
      <c r="C40" s="29">
        <f>'🌱 Configuração'!D6+41</f>
        <v>41</v>
      </c>
      <c r="D40" s="63" t="s">
        <v>94</v>
      </c>
      <c r="E40" s="63" t="s">
        <v>455</v>
      </c>
      <c r="F40" s="48" t="s">
        <v>456</v>
      </c>
      <c r="G40" s="30" t="s">
        <v>395</v>
      </c>
      <c r="H40" s="30" t="s">
        <v>459</v>
      </c>
    </row>
    <row r="42" spans="2:8" ht="27.75" customHeight="1" x14ac:dyDescent="0.3">
      <c r="B42" s="91" t="s">
        <v>460</v>
      </c>
      <c r="C42" s="91"/>
      <c r="D42" s="91"/>
      <c r="E42" s="91"/>
      <c r="F42" s="91"/>
      <c r="G42" s="91"/>
      <c r="H42" s="91"/>
    </row>
    <row r="43" spans="2:8" ht="21.75" customHeight="1" x14ac:dyDescent="0.3">
      <c r="B43" s="92" t="s">
        <v>461</v>
      </c>
      <c r="C43" s="92"/>
      <c r="D43" s="92" t="s">
        <v>462</v>
      </c>
      <c r="E43" s="92"/>
      <c r="F43" s="92"/>
      <c r="G43" s="92"/>
      <c r="H43" s="92"/>
    </row>
    <row r="44" spans="2:8" ht="19.5" customHeight="1" x14ac:dyDescent="0.3">
      <c r="B44" s="93" t="s">
        <v>463</v>
      </c>
      <c r="C44" s="93"/>
      <c r="D44" s="94" t="s">
        <v>464</v>
      </c>
      <c r="E44" s="94"/>
      <c r="F44" s="94"/>
      <c r="G44" s="94"/>
      <c r="H44" s="94"/>
    </row>
    <row r="45" spans="2:8" ht="19.5" customHeight="1" x14ac:dyDescent="0.3">
      <c r="B45" s="93" t="s">
        <v>463</v>
      </c>
      <c r="C45" s="93"/>
      <c r="D45" s="94" t="s">
        <v>465</v>
      </c>
      <c r="E45" s="94"/>
      <c r="F45" s="94"/>
      <c r="G45" s="94"/>
      <c r="H45" s="94"/>
    </row>
    <row r="46" spans="2:8" ht="19.5" customHeight="1" x14ac:dyDescent="0.3">
      <c r="B46" s="93" t="s">
        <v>466</v>
      </c>
      <c r="C46" s="93"/>
      <c r="D46" s="94" t="s">
        <v>467</v>
      </c>
      <c r="E46" s="94"/>
      <c r="F46" s="94"/>
      <c r="G46" s="94"/>
      <c r="H46" s="94"/>
    </row>
    <row r="47" spans="2:8" ht="19.5" customHeight="1" x14ac:dyDescent="0.3">
      <c r="B47" s="95" t="s">
        <v>468</v>
      </c>
      <c r="C47" s="95"/>
      <c r="D47" s="96" t="s">
        <v>469</v>
      </c>
      <c r="E47" s="96"/>
      <c r="F47" s="96"/>
      <c r="G47" s="96"/>
      <c r="H47" s="96"/>
    </row>
    <row r="48" spans="2:8" ht="19.5" customHeight="1" x14ac:dyDescent="0.3">
      <c r="B48" s="95" t="s">
        <v>470</v>
      </c>
      <c r="C48" s="95"/>
      <c r="D48" s="96" t="s">
        <v>471</v>
      </c>
      <c r="E48" s="96"/>
      <c r="F48" s="96"/>
      <c r="G48" s="96"/>
      <c r="H48" s="96"/>
    </row>
    <row r="49" spans="2:8" ht="19.5" customHeight="1" x14ac:dyDescent="0.3">
      <c r="B49" s="97" t="s">
        <v>472</v>
      </c>
      <c r="C49" s="97"/>
      <c r="D49" s="98" t="s">
        <v>473</v>
      </c>
      <c r="E49" s="98"/>
      <c r="F49" s="98"/>
      <c r="G49" s="98"/>
      <c r="H49" s="98"/>
    </row>
    <row r="50" spans="2:8" ht="19.5" customHeight="1" x14ac:dyDescent="0.3">
      <c r="B50" s="90" t="s">
        <v>474</v>
      </c>
      <c r="C50" s="90"/>
      <c r="D50" s="99" t="s">
        <v>475</v>
      </c>
      <c r="E50" s="99"/>
      <c r="F50" s="99"/>
      <c r="G50" s="99"/>
      <c r="H50" s="99"/>
    </row>
    <row r="51" spans="2:8" ht="19.5" customHeight="1" x14ac:dyDescent="0.3">
      <c r="B51" s="90" t="s">
        <v>474</v>
      </c>
      <c r="C51" s="90"/>
      <c r="D51" s="99" t="s">
        <v>476</v>
      </c>
      <c r="E51" s="99"/>
      <c r="F51" s="99"/>
      <c r="G51" s="99"/>
      <c r="H51" s="99"/>
    </row>
  </sheetData>
  <mergeCells count="23">
    <mergeCell ref="B49:C49"/>
    <mergeCell ref="D49:H49"/>
    <mergeCell ref="B50:C50"/>
    <mergeCell ref="D50:H50"/>
    <mergeCell ref="B51:C51"/>
    <mergeCell ref="D51:H51"/>
    <mergeCell ref="B46:C46"/>
    <mergeCell ref="D46:H46"/>
    <mergeCell ref="B47:C47"/>
    <mergeCell ref="D47:H47"/>
    <mergeCell ref="B48:C48"/>
    <mergeCell ref="D48:H48"/>
    <mergeCell ref="B43:C43"/>
    <mergeCell ref="D43:H43"/>
    <mergeCell ref="B44:C44"/>
    <mergeCell ref="D44:H44"/>
    <mergeCell ref="B45:C45"/>
    <mergeCell ref="D45:H45"/>
    <mergeCell ref="B2:H2"/>
    <mergeCell ref="B3:H3"/>
    <mergeCell ref="B5:H5"/>
    <mergeCell ref="B14:H14"/>
    <mergeCell ref="B42:H42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B2D8B"/>
  </sheetPr>
  <dimension ref="A2:L130"/>
  <sheetViews>
    <sheetView showGridLines="0" zoomScaleNormal="100" workbookViewId="0"/>
  </sheetViews>
  <sheetFormatPr defaultColWidth="8.6640625" defaultRowHeight="14.4" x14ac:dyDescent="0.3"/>
  <cols>
    <col min="1" max="1" width="3" style="15" customWidth="1"/>
    <col min="2" max="2" width="6" style="15" customWidth="1"/>
    <col min="3" max="3" width="14" style="15" customWidth="1"/>
    <col min="4" max="9" width="12" style="15" customWidth="1"/>
    <col min="10" max="10" width="20" style="15" customWidth="1"/>
    <col min="11" max="11" width="22" style="15" customWidth="1"/>
    <col min="12" max="12" width="3" style="15" customWidth="1"/>
  </cols>
  <sheetData>
    <row r="2" spans="2:12" ht="45" customHeight="1" x14ac:dyDescent="0.3">
      <c r="B2" s="82" t="s">
        <v>477</v>
      </c>
      <c r="C2" s="82"/>
      <c r="D2" s="82"/>
      <c r="E2" s="82"/>
      <c r="F2" s="82"/>
      <c r="G2" s="82"/>
      <c r="H2" s="82"/>
      <c r="I2" s="82"/>
      <c r="J2" s="82"/>
      <c r="K2" s="82"/>
    </row>
    <row r="3" spans="2:12" ht="18" customHeight="1" x14ac:dyDescent="0.3">
      <c r="B3" s="100" t="s">
        <v>478</v>
      </c>
      <c r="C3" s="100"/>
      <c r="D3" s="100"/>
      <c r="E3" s="100"/>
      <c r="F3" s="100"/>
      <c r="G3" s="100"/>
      <c r="H3" s="100"/>
      <c r="I3" s="100"/>
      <c r="J3" s="100"/>
      <c r="K3" s="100"/>
    </row>
    <row r="5" spans="2:12" ht="30" customHeight="1" x14ac:dyDescent="0.3">
      <c r="B5" s="16" t="s">
        <v>62</v>
      </c>
      <c r="C5" s="16" t="s">
        <v>63</v>
      </c>
      <c r="D5" s="16" t="s">
        <v>31</v>
      </c>
      <c r="E5" s="16" t="s">
        <v>479</v>
      </c>
      <c r="F5" s="16" t="s">
        <v>480</v>
      </c>
      <c r="G5" s="16" t="s">
        <v>481</v>
      </c>
      <c r="H5" s="16" t="s">
        <v>482</v>
      </c>
      <c r="I5" s="16" t="s">
        <v>483</v>
      </c>
      <c r="J5" s="16" t="s">
        <v>484</v>
      </c>
      <c r="K5" s="16" t="s">
        <v>485</v>
      </c>
      <c r="L5" s="16" t="s">
        <v>486</v>
      </c>
    </row>
    <row r="6" spans="2:12" ht="19.5" customHeight="1" x14ac:dyDescent="0.3">
      <c r="B6" s="18" t="s">
        <v>69</v>
      </c>
      <c r="C6" s="19">
        <f>'🌱 Configuração'!D6+0</f>
        <v>0</v>
      </c>
      <c r="D6" s="20" t="s">
        <v>70</v>
      </c>
      <c r="F6" s="44"/>
      <c r="G6" s="44"/>
      <c r="H6" s="44"/>
      <c r="I6" s="44"/>
      <c r="J6" s="44"/>
      <c r="K6" s="21"/>
      <c r="L6" s="64" t="str">
        <f t="shared" ref="L6:L37" si="0">IF(AND(F6&lt;&gt;"",F6&lt;22),"⚠️ Temp baixa",IF(AND(F6&lt;&gt;"",F6&gt;28),"⚠️ Temp alta",IF(AND(H6&lt;&gt;"",H6&lt;5.5),"⚠️ pH baixo",IF(AND(H6&lt;&gt;"",H6&gt;6.8),"⚠️ pH alto","✅ OK"))))</f>
        <v>✅ OK</v>
      </c>
    </row>
    <row r="7" spans="2:12" ht="19.5" customHeight="1" x14ac:dyDescent="0.3">
      <c r="B7" s="18" t="s">
        <v>73</v>
      </c>
      <c r="C7" s="24">
        <f>'🌱 Configuração'!D6+1</f>
        <v>1</v>
      </c>
      <c r="D7" s="20" t="s">
        <v>70</v>
      </c>
      <c r="F7" s="46"/>
      <c r="G7" s="46"/>
      <c r="H7" s="46"/>
      <c r="I7" s="46"/>
      <c r="J7" s="46"/>
      <c r="K7" s="25"/>
      <c r="L7" s="20" t="str">
        <f t="shared" si="0"/>
        <v>✅ OK</v>
      </c>
    </row>
    <row r="8" spans="2:12" ht="19.5" customHeight="1" x14ac:dyDescent="0.3">
      <c r="B8" s="18" t="s">
        <v>75</v>
      </c>
      <c r="C8" s="19">
        <f>'🌱 Configuração'!D6+2</f>
        <v>2</v>
      </c>
      <c r="D8" s="20" t="s">
        <v>70</v>
      </c>
      <c r="F8" s="44"/>
      <c r="G8" s="44"/>
      <c r="H8" s="44"/>
      <c r="I8" s="44"/>
      <c r="J8" s="44"/>
      <c r="K8" s="21"/>
      <c r="L8" s="64" t="str">
        <f t="shared" si="0"/>
        <v>✅ OK</v>
      </c>
    </row>
    <row r="9" spans="2:12" ht="19.5" customHeight="1" x14ac:dyDescent="0.3">
      <c r="B9" s="18" t="s">
        <v>23</v>
      </c>
      <c r="C9" s="24">
        <f>'🌱 Configuração'!D6+3</f>
        <v>3</v>
      </c>
      <c r="D9" s="20" t="s">
        <v>70</v>
      </c>
      <c r="F9" s="46"/>
      <c r="G9" s="46"/>
      <c r="H9" s="46"/>
      <c r="I9" s="46"/>
      <c r="J9" s="46"/>
      <c r="K9" s="25"/>
      <c r="L9" s="20" t="str">
        <f t="shared" si="0"/>
        <v>✅ OK</v>
      </c>
    </row>
    <row r="10" spans="2:12" ht="19.5" customHeight="1" x14ac:dyDescent="0.3">
      <c r="B10" s="18" t="s">
        <v>78</v>
      </c>
      <c r="C10" s="19">
        <f>'🌱 Configuração'!D6+4</f>
        <v>4</v>
      </c>
      <c r="D10" s="20" t="s">
        <v>70</v>
      </c>
      <c r="F10" s="44"/>
      <c r="G10" s="44"/>
      <c r="H10" s="44"/>
      <c r="I10" s="44"/>
      <c r="J10" s="44"/>
      <c r="K10" s="21"/>
      <c r="L10" s="64" t="str">
        <f t="shared" si="0"/>
        <v>✅ OK</v>
      </c>
    </row>
    <row r="11" spans="2:12" ht="19.5" customHeight="1" x14ac:dyDescent="0.3">
      <c r="B11" s="18" t="s">
        <v>79</v>
      </c>
      <c r="C11" s="24">
        <f>'🌱 Configuração'!D6+5</f>
        <v>5</v>
      </c>
      <c r="D11" s="20" t="s">
        <v>70</v>
      </c>
      <c r="F11" s="46"/>
      <c r="G11" s="46"/>
      <c r="H11" s="46"/>
      <c r="I11" s="46"/>
      <c r="J11" s="46"/>
      <c r="K11" s="25"/>
      <c r="L11" s="20" t="str">
        <f t="shared" si="0"/>
        <v>✅ OK</v>
      </c>
    </row>
    <row r="12" spans="2:12" ht="19.5" customHeight="1" x14ac:dyDescent="0.3">
      <c r="B12" s="18" t="s">
        <v>16</v>
      </c>
      <c r="C12" s="19">
        <f>'🌱 Configuração'!D6+6</f>
        <v>6</v>
      </c>
      <c r="D12" s="20" t="s">
        <v>70</v>
      </c>
      <c r="F12" s="44"/>
      <c r="G12" s="44"/>
      <c r="H12" s="44"/>
      <c r="I12" s="44"/>
      <c r="J12" s="44"/>
      <c r="K12" s="21"/>
      <c r="L12" s="64" t="str">
        <f t="shared" si="0"/>
        <v>✅ OK</v>
      </c>
    </row>
    <row r="13" spans="2:12" ht="19.5" customHeight="1" x14ac:dyDescent="0.3">
      <c r="B13" s="18" t="s">
        <v>82</v>
      </c>
      <c r="C13" s="24">
        <f>'🌱 Configuração'!D6+7</f>
        <v>7</v>
      </c>
      <c r="D13" s="20" t="s">
        <v>70</v>
      </c>
      <c r="F13" s="46"/>
      <c r="G13" s="46"/>
      <c r="H13" s="46"/>
      <c r="I13" s="46"/>
      <c r="J13" s="46"/>
      <c r="K13" s="25"/>
      <c r="L13" s="20" t="str">
        <f t="shared" si="0"/>
        <v>✅ OK</v>
      </c>
    </row>
    <row r="14" spans="2:12" ht="19.5" customHeight="1" x14ac:dyDescent="0.3">
      <c r="B14" s="18" t="s">
        <v>84</v>
      </c>
      <c r="C14" s="19">
        <f>'🌱 Configuração'!D6+8</f>
        <v>8</v>
      </c>
      <c r="D14" s="20" t="s">
        <v>70</v>
      </c>
      <c r="F14" s="44"/>
      <c r="G14" s="44"/>
      <c r="H14" s="44"/>
      <c r="I14" s="44"/>
      <c r="J14" s="44"/>
      <c r="K14" s="21"/>
      <c r="L14" s="64" t="str">
        <f t="shared" si="0"/>
        <v>✅ OK</v>
      </c>
    </row>
    <row r="15" spans="2:12" ht="19.5" customHeight="1" x14ac:dyDescent="0.3">
      <c r="B15" s="18" t="s">
        <v>86</v>
      </c>
      <c r="C15" s="24">
        <f>'🌱 Configuração'!D6+9</f>
        <v>9</v>
      </c>
      <c r="D15" s="20" t="s">
        <v>70</v>
      </c>
      <c r="F15" s="46"/>
      <c r="G15" s="46"/>
      <c r="H15" s="46"/>
      <c r="I15" s="46"/>
      <c r="J15" s="46"/>
      <c r="K15" s="25"/>
      <c r="L15" s="20" t="str">
        <f t="shared" si="0"/>
        <v>✅ OK</v>
      </c>
    </row>
    <row r="16" spans="2:12" ht="19.5" customHeight="1" x14ac:dyDescent="0.3">
      <c r="B16" s="18" t="s">
        <v>87</v>
      </c>
      <c r="C16" s="19">
        <f>'🌱 Configuração'!D6+10</f>
        <v>10</v>
      </c>
      <c r="D16" s="20" t="s">
        <v>70</v>
      </c>
      <c r="F16" s="44"/>
      <c r="G16" s="44"/>
      <c r="H16" s="44"/>
      <c r="I16" s="44"/>
      <c r="J16" s="44"/>
      <c r="K16" s="21"/>
      <c r="L16" s="64" t="str">
        <f t="shared" si="0"/>
        <v>✅ OK</v>
      </c>
    </row>
    <row r="17" spans="2:12" ht="19.5" customHeight="1" x14ac:dyDescent="0.3">
      <c r="B17" s="18" t="s">
        <v>21</v>
      </c>
      <c r="C17" s="24">
        <f>'🌱 Configuração'!D6+11</f>
        <v>11</v>
      </c>
      <c r="D17" s="20" t="s">
        <v>70</v>
      </c>
      <c r="F17" s="46"/>
      <c r="G17" s="46"/>
      <c r="H17" s="46"/>
      <c r="I17" s="46"/>
      <c r="J17" s="46"/>
      <c r="K17" s="25"/>
      <c r="L17" s="20" t="str">
        <f t="shared" si="0"/>
        <v>✅ OK</v>
      </c>
    </row>
    <row r="18" spans="2:12" ht="19.5" customHeight="1" x14ac:dyDescent="0.3">
      <c r="B18" s="18" t="s">
        <v>89</v>
      </c>
      <c r="C18" s="19">
        <f>'🌱 Configuração'!D6+12</f>
        <v>12</v>
      </c>
      <c r="D18" s="20" t="s">
        <v>70</v>
      </c>
      <c r="F18" s="44"/>
      <c r="G18" s="44"/>
      <c r="H18" s="44"/>
      <c r="I18" s="44"/>
      <c r="J18" s="44"/>
      <c r="K18" s="21"/>
      <c r="L18" s="64" t="str">
        <f t="shared" si="0"/>
        <v>✅ OK</v>
      </c>
    </row>
    <row r="19" spans="2:12" ht="19.5" customHeight="1" x14ac:dyDescent="0.3">
      <c r="B19" s="18" t="s">
        <v>5</v>
      </c>
      <c r="C19" s="24">
        <f>'🌱 Configuração'!D6+13</f>
        <v>13</v>
      </c>
      <c r="D19" s="20" t="s">
        <v>70</v>
      </c>
      <c r="F19" s="46"/>
      <c r="G19" s="46"/>
      <c r="H19" s="46"/>
      <c r="I19" s="46"/>
      <c r="J19" s="46"/>
      <c r="K19" s="25"/>
      <c r="L19" s="20" t="str">
        <f t="shared" si="0"/>
        <v>✅ OK</v>
      </c>
    </row>
    <row r="20" spans="2:12" ht="19.5" customHeight="1" x14ac:dyDescent="0.3">
      <c r="B20" s="18" t="s">
        <v>93</v>
      </c>
      <c r="C20" s="19">
        <f>'🌱 Configuração'!D6+14</f>
        <v>14</v>
      </c>
      <c r="D20" s="28" t="s">
        <v>94</v>
      </c>
      <c r="F20" s="44"/>
      <c r="G20" s="44"/>
      <c r="H20" s="44"/>
      <c r="I20" s="44"/>
      <c r="J20" s="44"/>
      <c r="K20" s="21"/>
      <c r="L20" s="64" t="str">
        <f t="shared" si="0"/>
        <v>✅ OK</v>
      </c>
    </row>
    <row r="21" spans="2:12" ht="19.5" customHeight="1" x14ac:dyDescent="0.3">
      <c r="B21" s="18" t="s">
        <v>97</v>
      </c>
      <c r="C21" s="29">
        <f>'🌱 Configuração'!D6+15</f>
        <v>15</v>
      </c>
      <c r="D21" s="28" t="s">
        <v>94</v>
      </c>
      <c r="F21" s="48"/>
      <c r="G21" s="48"/>
      <c r="H21" s="48"/>
      <c r="I21" s="48"/>
      <c r="J21" s="48"/>
      <c r="K21" s="30"/>
      <c r="L21" s="65" t="str">
        <f t="shared" si="0"/>
        <v>✅ OK</v>
      </c>
    </row>
    <row r="22" spans="2:12" ht="19.5" customHeight="1" x14ac:dyDescent="0.3">
      <c r="B22" s="18" t="s">
        <v>100</v>
      </c>
      <c r="C22" s="19">
        <f>'🌱 Configuração'!D6+16</f>
        <v>16</v>
      </c>
      <c r="D22" s="28" t="s">
        <v>94</v>
      </c>
      <c r="F22" s="44"/>
      <c r="G22" s="44"/>
      <c r="H22" s="44"/>
      <c r="I22" s="44"/>
      <c r="J22" s="44"/>
      <c r="K22" s="21"/>
      <c r="L22" s="64" t="str">
        <f t="shared" si="0"/>
        <v>✅ OK</v>
      </c>
    </row>
    <row r="23" spans="2:12" ht="19.5" customHeight="1" x14ac:dyDescent="0.3">
      <c r="B23" s="18" t="s">
        <v>18</v>
      </c>
      <c r="C23" s="29">
        <f>'🌱 Configuração'!D6+17</f>
        <v>17</v>
      </c>
      <c r="D23" s="28" t="s">
        <v>94</v>
      </c>
      <c r="F23" s="48"/>
      <c r="G23" s="48"/>
      <c r="H23" s="48"/>
      <c r="I23" s="48"/>
      <c r="J23" s="48"/>
      <c r="K23" s="30"/>
      <c r="L23" s="65" t="str">
        <f t="shared" si="0"/>
        <v>✅ OK</v>
      </c>
    </row>
    <row r="24" spans="2:12" ht="19.5" customHeight="1" x14ac:dyDescent="0.3">
      <c r="B24" s="18" t="s">
        <v>101</v>
      </c>
      <c r="C24" s="19">
        <f>'🌱 Configuração'!D6+18</f>
        <v>18</v>
      </c>
      <c r="D24" s="28" t="s">
        <v>94</v>
      </c>
      <c r="F24" s="44"/>
      <c r="G24" s="44"/>
      <c r="H24" s="44"/>
      <c r="I24" s="44"/>
      <c r="J24" s="44"/>
      <c r="K24" s="21"/>
      <c r="L24" s="64" t="str">
        <f t="shared" si="0"/>
        <v>✅ OK</v>
      </c>
    </row>
    <row r="25" spans="2:12" ht="19.5" customHeight="1" x14ac:dyDescent="0.3">
      <c r="B25" s="18" t="s">
        <v>102</v>
      </c>
      <c r="C25" s="29">
        <f>'🌱 Configuração'!D6+19</f>
        <v>19</v>
      </c>
      <c r="D25" s="28" t="s">
        <v>94</v>
      </c>
      <c r="F25" s="48"/>
      <c r="G25" s="48"/>
      <c r="H25" s="48"/>
      <c r="I25" s="48"/>
      <c r="J25" s="48"/>
      <c r="K25" s="30"/>
      <c r="L25" s="65" t="str">
        <f t="shared" si="0"/>
        <v>✅ OK</v>
      </c>
    </row>
    <row r="26" spans="2:12" ht="19.5" customHeight="1" x14ac:dyDescent="0.3">
      <c r="B26" s="18" t="s">
        <v>103</v>
      </c>
      <c r="C26" s="19">
        <f>'🌱 Configuração'!D6+20</f>
        <v>20</v>
      </c>
      <c r="D26" s="28" t="s">
        <v>94</v>
      </c>
      <c r="F26" s="44"/>
      <c r="G26" s="44"/>
      <c r="H26" s="44"/>
      <c r="I26" s="44"/>
      <c r="J26" s="44"/>
      <c r="K26" s="21"/>
      <c r="L26" s="64" t="str">
        <f t="shared" si="0"/>
        <v>✅ OK</v>
      </c>
    </row>
    <row r="27" spans="2:12" ht="19.5" customHeight="1" x14ac:dyDescent="0.3">
      <c r="B27" s="18" t="s">
        <v>108</v>
      </c>
      <c r="C27" s="29">
        <f>'🌱 Configuração'!D6+21</f>
        <v>21</v>
      </c>
      <c r="D27" s="28" t="s">
        <v>94</v>
      </c>
      <c r="F27" s="48"/>
      <c r="G27" s="48"/>
      <c r="H27" s="48"/>
      <c r="I27" s="48"/>
      <c r="J27" s="48"/>
      <c r="K27" s="30"/>
      <c r="L27" s="65" t="str">
        <f t="shared" si="0"/>
        <v>✅ OK</v>
      </c>
    </row>
    <row r="28" spans="2:12" ht="19.5" customHeight="1" x14ac:dyDescent="0.3">
      <c r="B28" s="18" t="s">
        <v>110</v>
      </c>
      <c r="C28" s="19">
        <f>'🌱 Configuração'!D6+22</f>
        <v>22</v>
      </c>
      <c r="D28" s="28" t="s">
        <v>94</v>
      </c>
      <c r="F28" s="44"/>
      <c r="G28" s="44"/>
      <c r="H28" s="44"/>
      <c r="I28" s="44"/>
      <c r="J28" s="44"/>
      <c r="K28" s="21"/>
      <c r="L28" s="64" t="str">
        <f t="shared" si="0"/>
        <v>✅ OK</v>
      </c>
    </row>
    <row r="29" spans="2:12" ht="19.5" customHeight="1" x14ac:dyDescent="0.3">
      <c r="B29" s="18" t="s">
        <v>25</v>
      </c>
      <c r="C29" s="29">
        <f>'🌱 Configuração'!D6+23</f>
        <v>23</v>
      </c>
      <c r="D29" s="28" t="s">
        <v>94</v>
      </c>
      <c r="F29" s="48"/>
      <c r="G29" s="48"/>
      <c r="H29" s="48"/>
      <c r="I29" s="48"/>
      <c r="J29" s="48"/>
      <c r="K29" s="30"/>
      <c r="L29" s="65" t="str">
        <f t="shared" si="0"/>
        <v>✅ OK</v>
      </c>
    </row>
    <row r="30" spans="2:12" ht="19.5" customHeight="1" x14ac:dyDescent="0.3">
      <c r="B30" s="18" t="s">
        <v>111</v>
      </c>
      <c r="C30" s="19">
        <f>'🌱 Configuração'!D6+24</f>
        <v>24</v>
      </c>
      <c r="D30" s="28" t="s">
        <v>94</v>
      </c>
      <c r="F30" s="44"/>
      <c r="G30" s="44"/>
      <c r="H30" s="44"/>
      <c r="I30" s="44"/>
      <c r="J30" s="44"/>
      <c r="K30" s="21"/>
      <c r="L30" s="64" t="str">
        <f t="shared" si="0"/>
        <v>✅ OK</v>
      </c>
    </row>
    <row r="31" spans="2:12" ht="19.5" customHeight="1" x14ac:dyDescent="0.3">
      <c r="B31" s="18" t="s">
        <v>113</v>
      </c>
      <c r="C31" s="29">
        <f>'🌱 Configuração'!D6+25</f>
        <v>25</v>
      </c>
      <c r="D31" s="28" t="s">
        <v>94</v>
      </c>
      <c r="F31" s="48"/>
      <c r="G31" s="48"/>
      <c r="H31" s="48"/>
      <c r="I31" s="48"/>
      <c r="J31" s="48"/>
      <c r="K31" s="30"/>
      <c r="L31" s="65" t="str">
        <f t="shared" si="0"/>
        <v>✅ OK</v>
      </c>
    </row>
    <row r="32" spans="2:12" ht="19.5" customHeight="1" x14ac:dyDescent="0.3">
      <c r="B32" s="18" t="s">
        <v>114</v>
      </c>
      <c r="C32" s="19">
        <f>'🌱 Configuração'!D6+26</f>
        <v>26</v>
      </c>
      <c r="D32" s="28" t="s">
        <v>94</v>
      </c>
      <c r="F32" s="44"/>
      <c r="G32" s="44"/>
      <c r="H32" s="44"/>
      <c r="I32" s="44"/>
      <c r="J32" s="44"/>
      <c r="K32" s="21"/>
      <c r="L32" s="64" t="str">
        <f t="shared" si="0"/>
        <v>✅ OK</v>
      </c>
    </row>
    <row r="33" spans="2:12" ht="19.5" customHeight="1" x14ac:dyDescent="0.3">
      <c r="B33" s="18" t="s">
        <v>115</v>
      </c>
      <c r="C33" s="29">
        <f>'🌱 Configuração'!D6+27</f>
        <v>27</v>
      </c>
      <c r="D33" s="28" t="s">
        <v>94</v>
      </c>
      <c r="F33" s="48"/>
      <c r="G33" s="48"/>
      <c r="H33" s="48"/>
      <c r="I33" s="48"/>
      <c r="J33" s="48"/>
      <c r="K33" s="30"/>
      <c r="L33" s="65" t="str">
        <f t="shared" si="0"/>
        <v>✅ OK</v>
      </c>
    </row>
    <row r="34" spans="2:12" ht="19.5" customHeight="1" x14ac:dyDescent="0.3">
      <c r="B34" s="18" t="s">
        <v>119</v>
      </c>
      <c r="C34" s="19">
        <f>'🌱 Configuração'!D6+28</f>
        <v>28</v>
      </c>
      <c r="D34" s="28" t="s">
        <v>94</v>
      </c>
      <c r="F34" s="44"/>
      <c r="G34" s="44"/>
      <c r="H34" s="44"/>
      <c r="I34" s="44"/>
      <c r="J34" s="44"/>
      <c r="K34" s="21"/>
      <c r="L34" s="64" t="str">
        <f t="shared" si="0"/>
        <v>✅ OK</v>
      </c>
    </row>
    <row r="35" spans="2:12" ht="19.5" customHeight="1" x14ac:dyDescent="0.3">
      <c r="B35" s="18" t="s">
        <v>121</v>
      </c>
      <c r="C35" s="29">
        <f>'🌱 Configuração'!D6+29</f>
        <v>29</v>
      </c>
      <c r="D35" s="28" t="s">
        <v>94</v>
      </c>
      <c r="F35" s="48"/>
      <c r="G35" s="48"/>
      <c r="H35" s="48"/>
      <c r="I35" s="48"/>
      <c r="J35" s="48"/>
      <c r="K35" s="30"/>
      <c r="L35" s="65" t="str">
        <f t="shared" si="0"/>
        <v>✅ OK</v>
      </c>
    </row>
    <row r="36" spans="2:12" ht="19.5" customHeight="1" x14ac:dyDescent="0.3">
      <c r="B36" s="18" t="s">
        <v>122</v>
      </c>
      <c r="C36" s="19">
        <f>'🌱 Configuração'!D6+30</f>
        <v>30</v>
      </c>
      <c r="D36" s="28" t="s">
        <v>94</v>
      </c>
      <c r="F36" s="44"/>
      <c r="G36" s="44"/>
      <c r="H36" s="44"/>
      <c r="I36" s="44"/>
      <c r="J36" s="44"/>
      <c r="K36" s="21"/>
      <c r="L36" s="64" t="str">
        <f t="shared" si="0"/>
        <v>✅ OK</v>
      </c>
    </row>
    <row r="37" spans="2:12" ht="19.5" customHeight="1" x14ac:dyDescent="0.3">
      <c r="B37" s="18" t="s">
        <v>123</v>
      </c>
      <c r="C37" s="29">
        <f>'🌱 Configuração'!D6+31</f>
        <v>31</v>
      </c>
      <c r="D37" s="28" t="s">
        <v>94</v>
      </c>
      <c r="F37" s="48"/>
      <c r="G37" s="48"/>
      <c r="H37" s="48"/>
      <c r="I37" s="48"/>
      <c r="J37" s="48"/>
      <c r="K37" s="30"/>
      <c r="L37" s="65" t="str">
        <f t="shared" si="0"/>
        <v>✅ OK</v>
      </c>
    </row>
    <row r="38" spans="2:12" ht="19.5" customHeight="1" x14ac:dyDescent="0.3">
      <c r="B38" s="18" t="s">
        <v>125</v>
      </c>
      <c r="C38" s="19">
        <f>'🌱 Configuração'!D6+32</f>
        <v>32</v>
      </c>
      <c r="D38" s="28" t="s">
        <v>94</v>
      </c>
      <c r="F38" s="44"/>
      <c r="G38" s="44"/>
      <c r="H38" s="44"/>
      <c r="I38" s="44"/>
      <c r="J38" s="44"/>
      <c r="K38" s="21"/>
      <c r="L38" s="64" t="str">
        <f t="shared" ref="L38:L69" si="1">IF(AND(F38&lt;&gt;"",F38&lt;22),"⚠️ Temp baixa",IF(AND(F38&lt;&gt;"",F38&gt;28),"⚠️ Temp alta",IF(AND(H38&lt;&gt;"",H38&lt;5.5),"⚠️ pH baixo",IF(AND(H38&lt;&gt;"",H38&gt;6.8),"⚠️ pH alto","✅ OK"))))</f>
        <v>✅ OK</v>
      </c>
    </row>
    <row r="39" spans="2:12" ht="19.5" customHeight="1" x14ac:dyDescent="0.3">
      <c r="B39" s="18" t="s">
        <v>126</v>
      </c>
      <c r="C39" s="29">
        <f>'🌱 Configuração'!D6+33</f>
        <v>33</v>
      </c>
      <c r="D39" s="28" t="s">
        <v>94</v>
      </c>
      <c r="F39" s="48"/>
      <c r="G39" s="48"/>
      <c r="H39" s="48"/>
      <c r="I39" s="48"/>
      <c r="J39" s="48"/>
      <c r="K39" s="30"/>
      <c r="L39" s="65" t="str">
        <f t="shared" si="1"/>
        <v>✅ OK</v>
      </c>
    </row>
    <row r="40" spans="2:12" ht="19.5" customHeight="1" x14ac:dyDescent="0.3">
      <c r="B40" s="18" t="s">
        <v>127</v>
      </c>
      <c r="C40" s="19">
        <f>'🌱 Configuração'!D6+34</f>
        <v>34</v>
      </c>
      <c r="D40" s="28" t="s">
        <v>94</v>
      </c>
      <c r="F40" s="44"/>
      <c r="G40" s="44"/>
      <c r="H40" s="44"/>
      <c r="I40" s="44"/>
      <c r="J40" s="44"/>
      <c r="K40" s="21"/>
      <c r="L40" s="64" t="str">
        <f t="shared" si="1"/>
        <v>✅ OK</v>
      </c>
    </row>
    <row r="41" spans="2:12" ht="19.5" customHeight="1" x14ac:dyDescent="0.3">
      <c r="B41" s="18" t="s">
        <v>132</v>
      </c>
      <c r="C41" s="29">
        <f>'🌱 Configuração'!D6+35</f>
        <v>35</v>
      </c>
      <c r="D41" s="28" t="s">
        <v>94</v>
      </c>
      <c r="F41" s="48"/>
      <c r="G41" s="48"/>
      <c r="H41" s="48"/>
      <c r="I41" s="48"/>
      <c r="J41" s="48"/>
      <c r="K41" s="30"/>
      <c r="L41" s="65" t="str">
        <f t="shared" si="1"/>
        <v>✅ OK</v>
      </c>
    </row>
    <row r="42" spans="2:12" ht="19.5" customHeight="1" x14ac:dyDescent="0.3">
      <c r="B42" s="18" t="s">
        <v>134</v>
      </c>
      <c r="C42" s="19">
        <f>'🌱 Configuração'!D6+36</f>
        <v>36</v>
      </c>
      <c r="D42" s="28" t="s">
        <v>94</v>
      </c>
      <c r="F42" s="44"/>
      <c r="G42" s="44"/>
      <c r="H42" s="44"/>
      <c r="I42" s="44"/>
      <c r="J42" s="44"/>
      <c r="K42" s="21"/>
      <c r="L42" s="64" t="str">
        <f t="shared" si="1"/>
        <v>✅ OK</v>
      </c>
    </row>
    <row r="43" spans="2:12" ht="19.5" customHeight="1" x14ac:dyDescent="0.3">
      <c r="B43" s="18" t="s">
        <v>135</v>
      </c>
      <c r="C43" s="29">
        <f>'🌱 Configuração'!D6+37</f>
        <v>37</v>
      </c>
      <c r="D43" s="28" t="s">
        <v>94</v>
      </c>
      <c r="F43" s="48"/>
      <c r="G43" s="48"/>
      <c r="H43" s="48"/>
      <c r="I43" s="48"/>
      <c r="J43" s="48"/>
      <c r="K43" s="30"/>
      <c r="L43" s="65" t="str">
        <f t="shared" si="1"/>
        <v>✅ OK</v>
      </c>
    </row>
    <row r="44" spans="2:12" ht="19.5" customHeight="1" x14ac:dyDescent="0.3">
      <c r="B44" s="18" t="s">
        <v>137</v>
      </c>
      <c r="C44" s="19">
        <f>'🌱 Configuração'!D6+38</f>
        <v>38</v>
      </c>
      <c r="D44" s="28" t="s">
        <v>94</v>
      </c>
      <c r="F44" s="44"/>
      <c r="G44" s="44"/>
      <c r="H44" s="44"/>
      <c r="I44" s="44"/>
      <c r="J44" s="44"/>
      <c r="K44" s="21"/>
      <c r="L44" s="64" t="str">
        <f t="shared" si="1"/>
        <v>✅ OK</v>
      </c>
    </row>
    <row r="45" spans="2:12" ht="19.5" customHeight="1" x14ac:dyDescent="0.3">
      <c r="B45" s="18" t="s">
        <v>138</v>
      </c>
      <c r="C45" s="29">
        <f>'🌱 Configuração'!D6+39</f>
        <v>39</v>
      </c>
      <c r="D45" s="28" t="s">
        <v>94</v>
      </c>
      <c r="F45" s="48"/>
      <c r="G45" s="48"/>
      <c r="H45" s="48"/>
      <c r="I45" s="48"/>
      <c r="J45" s="48"/>
      <c r="K45" s="30"/>
      <c r="L45" s="65" t="str">
        <f t="shared" si="1"/>
        <v>✅ OK</v>
      </c>
    </row>
    <row r="46" spans="2:12" ht="19.5" customHeight="1" x14ac:dyDescent="0.3">
      <c r="B46" s="18" t="s">
        <v>139</v>
      </c>
      <c r="C46" s="19">
        <f>'🌱 Configuração'!D6+40</f>
        <v>40</v>
      </c>
      <c r="D46" s="28" t="s">
        <v>94</v>
      </c>
      <c r="F46" s="44"/>
      <c r="G46" s="44"/>
      <c r="H46" s="44"/>
      <c r="I46" s="44"/>
      <c r="J46" s="44"/>
      <c r="K46" s="21"/>
      <c r="L46" s="64" t="str">
        <f t="shared" si="1"/>
        <v>✅ OK</v>
      </c>
    </row>
    <row r="47" spans="2:12" ht="19.5" customHeight="1" x14ac:dyDescent="0.3">
      <c r="B47" s="18" t="s">
        <v>8</v>
      </c>
      <c r="C47" s="29">
        <f>'🌱 Configuração'!D6+41</f>
        <v>41</v>
      </c>
      <c r="D47" s="28" t="s">
        <v>94</v>
      </c>
      <c r="F47" s="48"/>
      <c r="G47" s="48"/>
      <c r="H47" s="48"/>
      <c r="I47" s="48"/>
      <c r="J47" s="48"/>
      <c r="K47" s="30"/>
      <c r="L47" s="65" t="str">
        <f t="shared" si="1"/>
        <v>✅ OK</v>
      </c>
    </row>
    <row r="48" spans="2:12" ht="19.5" customHeight="1" x14ac:dyDescent="0.3">
      <c r="B48" s="18" t="s">
        <v>144</v>
      </c>
      <c r="C48" s="19">
        <f>'🌱 Configuração'!D6+42</f>
        <v>42</v>
      </c>
      <c r="D48" s="28" t="s">
        <v>94</v>
      </c>
      <c r="F48" s="44"/>
      <c r="G48" s="44"/>
      <c r="H48" s="44"/>
      <c r="I48" s="44"/>
      <c r="J48" s="44"/>
      <c r="K48" s="21"/>
      <c r="L48" s="64" t="str">
        <f t="shared" si="1"/>
        <v>✅ OK</v>
      </c>
    </row>
    <row r="49" spans="2:12" ht="19.5" customHeight="1" x14ac:dyDescent="0.3">
      <c r="B49" s="18" t="s">
        <v>148</v>
      </c>
      <c r="C49" s="29">
        <f>'🌱 Configuração'!D6+43</f>
        <v>43</v>
      </c>
      <c r="D49" s="28" t="s">
        <v>94</v>
      </c>
      <c r="F49" s="48"/>
      <c r="G49" s="48"/>
      <c r="H49" s="48"/>
      <c r="I49" s="48"/>
      <c r="J49" s="48"/>
      <c r="K49" s="30"/>
      <c r="L49" s="65" t="str">
        <f t="shared" si="1"/>
        <v>✅ OK</v>
      </c>
    </row>
    <row r="50" spans="2:12" ht="19.5" customHeight="1" x14ac:dyDescent="0.3">
      <c r="B50" s="18" t="s">
        <v>149</v>
      </c>
      <c r="C50" s="19">
        <f>'🌱 Configuração'!D6+44</f>
        <v>44</v>
      </c>
      <c r="D50" s="28" t="s">
        <v>94</v>
      </c>
      <c r="F50" s="44"/>
      <c r="G50" s="44"/>
      <c r="H50" s="44"/>
      <c r="I50" s="44"/>
      <c r="J50" s="44"/>
      <c r="K50" s="21"/>
      <c r="L50" s="64" t="str">
        <f t="shared" si="1"/>
        <v>✅ OK</v>
      </c>
    </row>
    <row r="51" spans="2:12" ht="19.5" customHeight="1" x14ac:dyDescent="0.3">
      <c r="B51" s="18" t="s">
        <v>151</v>
      </c>
      <c r="C51" s="29">
        <f>'🌱 Configuração'!D6+45</f>
        <v>45</v>
      </c>
      <c r="D51" s="28" t="s">
        <v>94</v>
      </c>
      <c r="F51" s="48"/>
      <c r="G51" s="48"/>
      <c r="H51" s="48"/>
      <c r="I51" s="48"/>
      <c r="J51" s="48"/>
      <c r="K51" s="30"/>
      <c r="L51" s="65" t="str">
        <f t="shared" si="1"/>
        <v>✅ OK</v>
      </c>
    </row>
    <row r="52" spans="2:12" ht="19.5" customHeight="1" x14ac:dyDescent="0.3">
      <c r="B52" s="18" t="s">
        <v>152</v>
      </c>
      <c r="C52" s="19">
        <f>'🌱 Configuração'!D6+46</f>
        <v>46</v>
      </c>
      <c r="D52" s="28" t="s">
        <v>94</v>
      </c>
      <c r="F52" s="44"/>
      <c r="G52" s="44"/>
      <c r="H52" s="44"/>
      <c r="I52" s="44"/>
      <c r="J52" s="44"/>
      <c r="K52" s="21"/>
      <c r="L52" s="64" t="str">
        <f t="shared" si="1"/>
        <v>✅ OK</v>
      </c>
    </row>
    <row r="53" spans="2:12" ht="19.5" customHeight="1" x14ac:dyDescent="0.3">
      <c r="B53" s="18" t="s">
        <v>153</v>
      </c>
      <c r="C53" s="29">
        <f>'🌱 Configuração'!D6+47</f>
        <v>47</v>
      </c>
      <c r="D53" s="28" t="s">
        <v>94</v>
      </c>
      <c r="F53" s="48"/>
      <c r="G53" s="48"/>
      <c r="H53" s="48"/>
      <c r="I53" s="48"/>
      <c r="J53" s="48"/>
      <c r="K53" s="30"/>
      <c r="L53" s="65" t="str">
        <f t="shared" si="1"/>
        <v>✅ OK</v>
      </c>
    </row>
    <row r="54" spans="2:12" ht="19.5" customHeight="1" x14ac:dyDescent="0.3">
      <c r="B54" s="18" t="s">
        <v>154</v>
      </c>
      <c r="C54" s="19">
        <f>'🌱 Configuração'!D6+48</f>
        <v>48</v>
      </c>
      <c r="D54" s="28" t="s">
        <v>94</v>
      </c>
      <c r="F54" s="44"/>
      <c r="G54" s="44"/>
      <c r="H54" s="44"/>
      <c r="I54" s="44"/>
      <c r="J54" s="44"/>
      <c r="K54" s="21"/>
      <c r="L54" s="64" t="str">
        <f t="shared" si="1"/>
        <v>✅ OK</v>
      </c>
    </row>
    <row r="55" spans="2:12" ht="19.5" customHeight="1" x14ac:dyDescent="0.3">
      <c r="B55" s="18" t="s">
        <v>29</v>
      </c>
      <c r="C55" s="29">
        <f>'🌱 Configuração'!D6+49</f>
        <v>49</v>
      </c>
      <c r="D55" s="28" t="s">
        <v>94</v>
      </c>
      <c r="F55" s="48"/>
      <c r="G55" s="48"/>
      <c r="H55" s="48"/>
      <c r="I55" s="48"/>
      <c r="J55" s="48"/>
      <c r="K55" s="30"/>
      <c r="L55" s="65" t="str">
        <f t="shared" si="1"/>
        <v>✅ OK</v>
      </c>
    </row>
    <row r="56" spans="2:12" ht="19.5" customHeight="1" x14ac:dyDescent="0.3">
      <c r="B56" s="18" t="s">
        <v>156</v>
      </c>
      <c r="C56" s="19">
        <f>'🌱 Configuração'!D6+50</f>
        <v>50</v>
      </c>
      <c r="D56" s="28" t="s">
        <v>94</v>
      </c>
      <c r="F56" s="44"/>
      <c r="G56" s="44"/>
      <c r="H56" s="44"/>
      <c r="I56" s="44"/>
      <c r="J56" s="44"/>
      <c r="K56" s="21"/>
      <c r="L56" s="64" t="str">
        <f t="shared" si="1"/>
        <v>✅ OK</v>
      </c>
    </row>
    <row r="57" spans="2:12" ht="19.5" customHeight="1" x14ac:dyDescent="0.3">
      <c r="B57" s="18" t="s">
        <v>157</v>
      </c>
      <c r="C57" s="29">
        <f>'🌱 Configuração'!D6+51</f>
        <v>51</v>
      </c>
      <c r="D57" s="28" t="s">
        <v>94</v>
      </c>
      <c r="F57" s="48"/>
      <c r="G57" s="48"/>
      <c r="H57" s="48"/>
      <c r="I57" s="48"/>
      <c r="J57" s="48"/>
      <c r="K57" s="30"/>
      <c r="L57" s="65" t="str">
        <f t="shared" si="1"/>
        <v>✅ OK</v>
      </c>
    </row>
    <row r="58" spans="2:12" ht="19.5" customHeight="1" x14ac:dyDescent="0.3">
      <c r="B58" s="18" t="s">
        <v>158</v>
      </c>
      <c r="C58" s="19">
        <f>'🌱 Configuração'!D6+52</f>
        <v>52</v>
      </c>
      <c r="D58" s="28" t="s">
        <v>94</v>
      </c>
      <c r="F58" s="44"/>
      <c r="G58" s="44"/>
      <c r="H58" s="44"/>
      <c r="I58" s="44"/>
      <c r="J58" s="44"/>
      <c r="K58" s="21"/>
      <c r="L58" s="64" t="str">
        <f t="shared" si="1"/>
        <v>✅ OK</v>
      </c>
    </row>
    <row r="59" spans="2:12" ht="19.5" customHeight="1" x14ac:dyDescent="0.3">
      <c r="B59" s="18" t="s">
        <v>159</v>
      </c>
      <c r="C59" s="29">
        <f>'🌱 Configuração'!D6+53</f>
        <v>53</v>
      </c>
      <c r="D59" s="28" t="s">
        <v>94</v>
      </c>
      <c r="F59" s="48"/>
      <c r="G59" s="48"/>
      <c r="H59" s="48"/>
      <c r="I59" s="48"/>
      <c r="J59" s="48"/>
      <c r="K59" s="30"/>
      <c r="L59" s="65" t="str">
        <f t="shared" si="1"/>
        <v>✅ OK</v>
      </c>
    </row>
    <row r="60" spans="2:12" ht="19.5" customHeight="1" x14ac:dyDescent="0.3">
      <c r="B60" s="18" t="s">
        <v>160</v>
      </c>
      <c r="C60" s="19">
        <f>'🌱 Configuração'!D6+54</f>
        <v>54</v>
      </c>
      <c r="D60" s="28" t="s">
        <v>94</v>
      </c>
      <c r="F60" s="44"/>
      <c r="G60" s="44"/>
      <c r="H60" s="44"/>
      <c r="I60" s="44"/>
      <c r="J60" s="44"/>
      <c r="K60" s="21"/>
      <c r="L60" s="64" t="str">
        <f t="shared" si="1"/>
        <v>✅ OK</v>
      </c>
    </row>
    <row r="61" spans="2:12" ht="19.5" customHeight="1" x14ac:dyDescent="0.3">
      <c r="B61" s="18" t="s">
        <v>161</v>
      </c>
      <c r="C61" s="29">
        <f>'🌱 Configuração'!D6+55</f>
        <v>55</v>
      </c>
      <c r="D61" s="28" t="s">
        <v>94</v>
      </c>
      <c r="F61" s="48"/>
      <c r="G61" s="48"/>
      <c r="H61" s="48"/>
      <c r="I61" s="48"/>
      <c r="J61" s="48"/>
      <c r="K61" s="30"/>
      <c r="L61" s="65" t="str">
        <f t="shared" si="1"/>
        <v>✅ OK</v>
      </c>
    </row>
    <row r="62" spans="2:12" ht="19.5" customHeight="1" x14ac:dyDescent="0.3">
      <c r="B62" s="18" t="s">
        <v>163</v>
      </c>
      <c r="C62" s="19">
        <f>'🌱 Configuração'!D6+56</f>
        <v>56</v>
      </c>
      <c r="D62" s="33" t="s">
        <v>164</v>
      </c>
      <c r="F62" s="44"/>
      <c r="G62" s="44"/>
      <c r="H62" s="44"/>
      <c r="I62" s="44"/>
      <c r="J62" s="44"/>
      <c r="K62" s="21"/>
      <c r="L62" s="64" t="str">
        <f t="shared" si="1"/>
        <v>✅ OK</v>
      </c>
    </row>
    <row r="63" spans="2:12" ht="19.5" customHeight="1" x14ac:dyDescent="0.3">
      <c r="B63" s="18" t="s">
        <v>168</v>
      </c>
      <c r="C63" s="34">
        <f>'🌱 Configuração'!D6+57</f>
        <v>57</v>
      </c>
      <c r="D63" s="33" t="s">
        <v>164</v>
      </c>
      <c r="F63" s="52"/>
      <c r="G63" s="52"/>
      <c r="H63" s="52"/>
      <c r="I63" s="52"/>
      <c r="J63" s="52"/>
      <c r="K63" s="35"/>
      <c r="L63" s="66" t="str">
        <f t="shared" si="1"/>
        <v>✅ OK</v>
      </c>
    </row>
    <row r="64" spans="2:12" ht="19.5" customHeight="1" x14ac:dyDescent="0.3">
      <c r="B64" s="18" t="s">
        <v>170</v>
      </c>
      <c r="C64" s="19">
        <f>'🌱 Configuração'!D6+58</f>
        <v>58</v>
      </c>
      <c r="D64" s="33" t="s">
        <v>164</v>
      </c>
      <c r="F64" s="44"/>
      <c r="G64" s="44"/>
      <c r="H64" s="44"/>
      <c r="I64" s="44"/>
      <c r="J64" s="44"/>
      <c r="K64" s="21"/>
      <c r="L64" s="64" t="str">
        <f t="shared" si="1"/>
        <v>✅ OK</v>
      </c>
    </row>
    <row r="65" spans="2:12" ht="19.5" customHeight="1" x14ac:dyDescent="0.3">
      <c r="B65" s="18" t="s">
        <v>171</v>
      </c>
      <c r="C65" s="34">
        <f>'🌱 Configuração'!D6+59</f>
        <v>59</v>
      </c>
      <c r="D65" s="33" t="s">
        <v>164</v>
      </c>
      <c r="F65" s="52"/>
      <c r="G65" s="52"/>
      <c r="H65" s="52"/>
      <c r="I65" s="52"/>
      <c r="J65" s="52"/>
      <c r="K65" s="35"/>
      <c r="L65" s="66" t="str">
        <f t="shared" si="1"/>
        <v>✅ OK</v>
      </c>
    </row>
    <row r="66" spans="2:12" ht="19.5" customHeight="1" x14ac:dyDescent="0.3">
      <c r="B66" s="18" t="s">
        <v>172</v>
      </c>
      <c r="C66" s="19">
        <f>'🌱 Configuração'!D6+60</f>
        <v>60</v>
      </c>
      <c r="D66" s="33" t="s">
        <v>164</v>
      </c>
      <c r="F66" s="44"/>
      <c r="G66" s="44"/>
      <c r="H66" s="44"/>
      <c r="I66" s="44"/>
      <c r="J66" s="44"/>
      <c r="K66" s="21"/>
      <c r="L66" s="64" t="str">
        <f t="shared" si="1"/>
        <v>✅ OK</v>
      </c>
    </row>
    <row r="67" spans="2:12" ht="19.5" customHeight="1" x14ac:dyDescent="0.3">
      <c r="B67" s="18" t="s">
        <v>173</v>
      </c>
      <c r="C67" s="34">
        <f>'🌱 Configuração'!D6+61</f>
        <v>61</v>
      </c>
      <c r="D67" s="33" t="s">
        <v>164</v>
      </c>
      <c r="F67" s="52"/>
      <c r="G67" s="52"/>
      <c r="H67" s="52"/>
      <c r="I67" s="52"/>
      <c r="J67" s="52"/>
      <c r="K67" s="35"/>
      <c r="L67" s="66" t="str">
        <f t="shared" si="1"/>
        <v>✅ OK</v>
      </c>
    </row>
    <row r="68" spans="2:12" ht="19.5" customHeight="1" x14ac:dyDescent="0.3">
      <c r="B68" s="18" t="s">
        <v>12</v>
      </c>
      <c r="C68" s="19">
        <f>'🌱 Configuração'!D6+62</f>
        <v>62</v>
      </c>
      <c r="D68" s="33" t="s">
        <v>164</v>
      </c>
      <c r="F68" s="44"/>
      <c r="G68" s="44"/>
      <c r="H68" s="44"/>
      <c r="I68" s="44"/>
      <c r="J68" s="44"/>
      <c r="K68" s="21"/>
      <c r="L68" s="64" t="str">
        <f t="shared" si="1"/>
        <v>✅ OK</v>
      </c>
    </row>
    <row r="69" spans="2:12" ht="19.5" customHeight="1" x14ac:dyDescent="0.3">
      <c r="B69" s="18" t="s">
        <v>177</v>
      </c>
      <c r="C69" s="34">
        <f>'🌱 Configuração'!D6+63</f>
        <v>63</v>
      </c>
      <c r="D69" s="33" t="s">
        <v>164</v>
      </c>
      <c r="F69" s="52"/>
      <c r="G69" s="52"/>
      <c r="H69" s="52"/>
      <c r="I69" s="52"/>
      <c r="J69" s="52"/>
      <c r="K69" s="35"/>
      <c r="L69" s="66" t="str">
        <f t="shared" si="1"/>
        <v>✅ OK</v>
      </c>
    </row>
    <row r="70" spans="2:12" ht="19.5" customHeight="1" x14ac:dyDescent="0.3">
      <c r="B70" s="18" t="s">
        <v>27</v>
      </c>
      <c r="C70" s="19">
        <f>'🌱 Configuração'!D6+64</f>
        <v>64</v>
      </c>
      <c r="D70" s="33" t="s">
        <v>164</v>
      </c>
      <c r="F70" s="44"/>
      <c r="G70" s="44"/>
      <c r="H70" s="44"/>
      <c r="I70" s="44"/>
      <c r="J70" s="44"/>
      <c r="K70" s="21"/>
      <c r="L70" s="64" t="str">
        <f t="shared" ref="L70:L101" si="2">IF(AND(F70&lt;&gt;"",F70&lt;22),"⚠️ Temp baixa",IF(AND(F70&lt;&gt;"",F70&gt;28),"⚠️ Temp alta",IF(AND(H70&lt;&gt;"",H70&lt;5.5),"⚠️ pH baixo",IF(AND(H70&lt;&gt;"",H70&gt;6.8),"⚠️ pH alto","✅ OK"))))</f>
        <v>✅ OK</v>
      </c>
    </row>
    <row r="71" spans="2:12" ht="19.5" customHeight="1" x14ac:dyDescent="0.3">
      <c r="B71" s="18" t="s">
        <v>179</v>
      </c>
      <c r="C71" s="34">
        <f>'🌱 Configuração'!D6+65</f>
        <v>65</v>
      </c>
      <c r="D71" s="33" t="s">
        <v>164</v>
      </c>
      <c r="F71" s="52"/>
      <c r="G71" s="52"/>
      <c r="H71" s="52"/>
      <c r="I71" s="52"/>
      <c r="J71" s="52"/>
      <c r="K71" s="35"/>
      <c r="L71" s="66" t="str">
        <f t="shared" si="2"/>
        <v>✅ OK</v>
      </c>
    </row>
    <row r="72" spans="2:12" ht="19.5" customHeight="1" x14ac:dyDescent="0.3">
      <c r="B72" s="18" t="s">
        <v>180</v>
      </c>
      <c r="C72" s="19">
        <f>'🌱 Configuração'!D6+66</f>
        <v>66</v>
      </c>
      <c r="D72" s="33" t="s">
        <v>164</v>
      </c>
      <c r="F72" s="44"/>
      <c r="G72" s="44"/>
      <c r="H72" s="44"/>
      <c r="I72" s="44"/>
      <c r="J72" s="44"/>
      <c r="K72" s="21"/>
      <c r="L72" s="64" t="str">
        <f t="shared" si="2"/>
        <v>✅ OK</v>
      </c>
    </row>
    <row r="73" spans="2:12" ht="19.5" customHeight="1" x14ac:dyDescent="0.3">
      <c r="B73" s="18" t="s">
        <v>181</v>
      </c>
      <c r="C73" s="34">
        <f>'🌱 Configuração'!D6+67</f>
        <v>67</v>
      </c>
      <c r="D73" s="33" t="s">
        <v>164</v>
      </c>
      <c r="F73" s="52"/>
      <c r="G73" s="52"/>
      <c r="H73" s="52"/>
      <c r="I73" s="52"/>
      <c r="J73" s="52"/>
      <c r="K73" s="35"/>
      <c r="L73" s="66" t="str">
        <f t="shared" si="2"/>
        <v>✅ OK</v>
      </c>
    </row>
    <row r="74" spans="2:12" ht="19.5" customHeight="1" x14ac:dyDescent="0.3">
      <c r="B74" s="18" t="s">
        <v>182</v>
      </c>
      <c r="C74" s="19">
        <f>'🌱 Configuração'!D6+68</f>
        <v>68</v>
      </c>
      <c r="D74" s="33" t="s">
        <v>164</v>
      </c>
      <c r="F74" s="44"/>
      <c r="G74" s="44"/>
      <c r="H74" s="44"/>
      <c r="I74" s="44"/>
      <c r="J74" s="44"/>
      <c r="K74" s="21"/>
      <c r="L74" s="64" t="str">
        <f t="shared" si="2"/>
        <v>✅ OK</v>
      </c>
    </row>
    <row r="75" spans="2:12" ht="19.5" customHeight="1" x14ac:dyDescent="0.3">
      <c r="B75" s="18" t="s">
        <v>183</v>
      </c>
      <c r="C75" s="34">
        <f>'🌱 Configuração'!D6+69</f>
        <v>69</v>
      </c>
      <c r="D75" s="33" t="s">
        <v>164</v>
      </c>
      <c r="F75" s="52"/>
      <c r="G75" s="52"/>
      <c r="H75" s="52"/>
      <c r="I75" s="52"/>
      <c r="J75" s="52"/>
      <c r="K75" s="35"/>
      <c r="L75" s="66" t="str">
        <f t="shared" si="2"/>
        <v>✅ OK</v>
      </c>
    </row>
    <row r="76" spans="2:12" ht="19.5" customHeight="1" x14ac:dyDescent="0.3">
      <c r="B76" s="18" t="s">
        <v>188</v>
      </c>
      <c r="C76" s="19">
        <f>'🌱 Configuração'!D6+70</f>
        <v>70</v>
      </c>
      <c r="D76" s="33" t="s">
        <v>164</v>
      </c>
      <c r="F76" s="44"/>
      <c r="G76" s="44"/>
      <c r="H76" s="44"/>
      <c r="I76" s="44"/>
      <c r="J76" s="44"/>
      <c r="K76" s="21"/>
      <c r="L76" s="64" t="str">
        <f t="shared" si="2"/>
        <v>✅ OK</v>
      </c>
    </row>
    <row r="77" spans="2:12" ht="19.5" customHeight="1" x14ac:dyDescent="0.3">
      <c r="B77" s="18" t="s">
        <v>190</v>
      </c>
      <c r="C77" s="34">
        <f>'🌱 Configuração'!D6+71</f>
        <v>71</v>
      </c>
      <c r="D77" s="33" t="s">
        <v>164</v>
      </c>
      <c r="F77" s="52"/>
      <c r="G77" s="52"/>
      <c r="H77" s="52"/>
      <c r="I77" s="52"/>
      <c r="J77" s="52"/>
      <c r="K77" s="35"/>
      <c r="L77" s="66" t="str">
        <f t="shared" si="2"/>
        <v>✅ OK</v>
      </c>
    </row>
    <row r="78" spans="2:12" ht="19.5" customHeight="1" x14ac:dyDescent="0.3">
      <c r="B78" s="18" t="s">
        <v>191</v>
      </c>
      <c r="C78" s="19">
        <f>'🌱 Configuração'!D6+72</f>
        <v>72</v>
      </c>
      <c r="D78" s="33" t="s">
        <v>164</v>
      </c>
      <c r="F78" s="44"/>
      <c r="G78" s="44"/>
      <c r="H78" s="44"/>
      <c r="I78" s="44"/>
      <c r="J78" s="44"/>
      <c r="K78" s="21"/>
      <c r="L78" s="64" t="str">
        <f t="shared" si="2"/>
        <v>✅ OK</v>
      </c>
    </row>
    <row r="79" spans="2:12" ht="19.5" customHeight="1" x14ac:dyDescent="0.3">
      <c r="B79" s="18" t="s">
        <v>192</v>
      </c>
      <c r="C79" s="34">
        <f>'🌱 Configuração'!D6+73</f>
        <v>73</v>
      </c>
      <c r="D79" s="33" t="s">
        <v>164</v>
      </c>
      <c r="F79" s="52"/>
      <c r="G79" s="52"/>
      <c r="H79" s="52"/>
      <c r="I79" s="52"/>
      <c r="J79" s="52"/>
      <c r="K79" s="35"/>
      <c r="L79" s="66" t="str">
        <f t="shared" si="2"/>
        <v>✅ OK</v>
      </c>
    </row>
    <row r="80" spans="2:12" ht="19.5" customHeight="1" x14ac:dyDescent="0.3">
      <c r="B80" s="18" t="s">
        <v>193</v>
      </c>
      <c r="C80" s="19">
        <f>'🌱 Configuração'!D6+74</f>
        <v>74</v>
      </c>
      <c r="D80" s="33" t="s">
        <v>164</v>
      </c>
      <c r="F80" s="44"/>
      <c r="G80" s="44"/>
      <c r="H80" s="44"/>
      <c r="I80" s="44"/>
      <c r="J80" s="44"/>
      <c r="K80" s="21"/>
      <c r="L80" s="64" t="str">
        <f t="shared" si="2"/>
        <v>✅ OK</v>
      </c>
    </row>
    <row r="81" spans="2:12" ht="19.5" customHeight="1" x14ac:dyDescent="0.3">
      <c r="B81" s="18" t="s">
        <v>194</v>
      </c>
      <c r="C81" s="34">
        <f>'🌱 Configuração'!D6+75</f>
        <v>75</v>
      </c>
      <c r="D81" s="33" t="s">
        <v>164</v>
      </c>
      <c r="F81" s="52"/>
      <c r="G81" s="52"/>
      <c r="H81" s="52"/>
      <c r="I81" s="52"/>
      <c r="J81" s="52"/>
      <c r="K81" s="35"/>
      <c r="L81" s="66" t="str">
        <f t="shared" si="2"/>
        <v>✅ OK</v>
      </c>
    </row>
    <row r="82" spans="2:12" ht="19.5" customHeight="1" x14ac:dyDescent="0.3">
      <c r="B82" s="18" t="s">
        <v>195</v>
      </c>
      <c r="C82" s="19">
        <f>'🌱 Configuração'!D6+76</f>
        <v>76</v>
      </c>
      <c r="D82" s="33" t="s">
        <v>164</v>
      </c>
      <c r="F82" s="44"/>
      <c r="G82" s="44"/>
      <c r="H82" s="44"/>
      <c r="I82" s="44"/>
      <c r="J82" s="44"/>
      <c r="K82" s="21"/>
      <c r="L82" s="64" t="str">
        <f t="shared" si="2"/>
        <v>✅ OK</v>
      </c>
    </row>
    <row r="83" spans="2:12" ht="19.5" customHeight="1" x14ac:dyDescent="0.3">
      <c r="B83" s="18" t="s">
        <v>198</v>
      </c>
      <c r="C83" s="34">
        <f>'🌱 Configuração'!D6+77</f>
        <v>77</v>
      </c>
      <c r="D83" s="33" t="s">
        <v>164</v>
      </c>
      <c r="F83" s="52"/>
      <c r="G83" s="52"/>
      <c r="H83" s="52"/>
      <c r="I83" s="52"/>
      <c r="J83" s="52"/>
      <c r="K83" s="35"/>
      <c r="L83" s="66" t="str">
        <f t="shared" si="2"/>
        <v>✅ OK</v>
      </c>
    </row>
    <row r="84" spans="2:12" ht="19.5" customHeight="1" x14ac:dyDescent="0.3">
      <c r="B84" s="18" t="s">
        <v>200</v>
      </c>
      <c r="C84" s="19">
        <f>'🌱 Configuração'!D6+78</f>
        <v>78</v>
      </c>
      <c r="D84" s="33" t="s">
        <v>164</v>
      </c>
      <c r="F84" s="44"/>
      <c r="G84" s="44"/>
      <c r="H84" s="44"/>
      <c r="I84" s="44"/>
      <c r="J84" s="44"/>
      <c r="K84" s="21"/>
      <c r="L84" s="64" t="str">
        <f t="shared" si="2"/>
        <v>✅ OK</v>
      </c>
    </row>
    <row r="85" spans="2:12" ht="19.5" customHeight="1" x14ac:dyDescent="0.3">
      <c r="B85" s="18" t="s">
        <v>201</v>
      </c>
      <c r="C85" s="34">
        <f>'🌱 Configuração'!D6+79</f>
        <v>79</v>
      </c>
      <c r="D85" s="33" t="s">
        <v>164</v>
      </c>
      <c r="F85" s="52"/>
      <c r="G85" s="52"/>
      <c r="H85" s="52"/>
      <c r="I85" s="52"/>
      <c r="J85" s="52"/>
      <c r="K85" s="35"/>
      <c r="L85" s="66" t="str">
        <f t="shared" si="2"/>
        <v>✅ OK</v>
      </c>
    </row>
    <row r="86" spans="2:12" ht="19.5" customHeight="1" x14ac:dyDescent="0.3">
      <c r="B86" s="18" t="s">
        <v>202</v>
      </c>
      <c r="C86" s="19">
        <f>'🌱 Configuração'!D6+80</f>
        <v>80</v>
      </c>
      <c r="D86" s="33" t="s">
        <v>164</v>
      </c>
      <c r="F86" s="44"/>
      <c r="G86" s="44"/>
      <c r="H86" s="44"/>
      <c r="I86" s="44"/>
      <c r="J86" s="44"/>
      <c r="K86" s="21"/>
      <c r="L86" s="64" t="str">
        <f t="shared" si="2"/>
        <v>✅ OK</v>
      </c>
    </row>
    <row r="87" spans="2:12" ht="19.5" customHeight="1" x14ac:dyDescent="0.3">
      <c r="B87" s="18" t="s">
        <v>203</v>
      </c>
      <c r="C87" s="34">
        <f>'🌱 Configuração'!D6+81</f>
        <v>81</v>
      </c>
      <c r="D87" s="33" t="s">
        <v>164</v>
      </c>
      <c r="F87" s="52"/>
      <c r="G87" s="52"/>
      <c r="H87" s="52"/>
      <c r="I87" s="52"/>
      <c r="J87" s="52"/>
      <c r="K87" s="35"/>
      <c r="L87" s="66" t="str">
        <f t="shared" si="2"/>
        <v>✅ OK</v>
      </c>
    </row>
    <row r="88" spans="2:12" ht="19.5" customHeight="1" x14ac:dyDescent="0.3">
      <c r="B88" s="18" t="s">
        <v>204</v>
      </c>
      <c r="C88" s="19">
        <f>'🌱 Configuração'!D6+82</f>
        <v>82</v>
      </c>
      <c r="D88" s="33" t="s">
        <v>164</v>
      </c>
      <c r="F88" s="44"/>
      <c r="G88" s="44"/>
      <c r="H88" s="44"/>
      <c r="I88" s="44"/>
      <c r="J88" s="44"/>
      <c r="K88" s="21"/>
      <c r="L88" s="64" t="str">
        <f t="shared" si="2"/>
        <v>✅ OK</v>
      </c>
    </row>
    <row r="89" spans="2:12" ht="19.5" customHeight="1" x14ac:dyDescent="0.3">
      <c r="B89" s="18" t="s">
        <v>205</v>
      </c>
      <c r="C89" s="34">
        <f>'🌱 Configuração'!D6+83</f>
        <v>83</v>
      </c>
      <c r="D89" s="33" t="s">
        <v>164</v>
      </c>
      <c r="F89" s="52"/>
      <c r="G89" s="52"/>
      <c r="H89" s="52"/>
      <c r="I89" s="52"/>
      <c r="J89" s="52"/>
      <c r="K89" s="35"/>
      <c r="L89" s="66" t="str">
        <f t="shared" si="2"/>
        <v>✅ OK</v>
      </c>
    </row>
    <row r="90" spans="2:12" ht="19.5" customHeight="1" x14ac:dyDescent="0.3">
      <c r="B90" s="18" t="s">
        <v>209</v>
      </c>
      <c r="C90" s="19">
        <f>'🌱 Configuração'!D6+84</f>
        <v>84</v>
      </c>
      <c r="D90" s="33" t="s">
        <v>164</v>
      </c>
      <c r="F90" s="44"/>
      <c r="G90" s="44"/>
      <c r="H90" s="44"/>
      <c r="I90" s="44"/>
      <c r="J90" s="44"/>
      <c r="K90" s="21"/>
      <c r="L90" s="64" t="str">
        <f t="shared" si="2"/>
        <v>✅ OK</v>
      </c>
    </row>
    <row r="91" spans="2:12" ht="19.5" customHeight="1" x14ac:dyDescent="0.3">
      <c r="B91" s="18" t="s">
        <v>211</v>
      </c>
      <c r="C91" s="34">
        <f>'🌱 Configuração'!D6+85</f>
        <v>85</v>
      </c>
      <c r="D91" s="33" t="s">
        <v>164</v>
      </c>
      <c r="F91" s="52"/>
      <c r="G91" s="52"/>
      <c r="H91" s="52"/>
      <c r="I91" s="52"/>
      <c r="J91" s="52"/>
      <c r="K91" s="35"/>
      <c r="L91" s="66" t="str">
        <f t="shared" si="2"/>
        <v>✅ OK</v>
      </c>
    </row>
    <row r="92" spans="2:12" ht="19.5" customHeight="1" x14ac:dyDescent="0.3">
      <c r="B92" s="18" t="s">
        <v>212</v>
      </c>
      <c r="C92" s="19">
        <f>'🌱 Configuração'!D6+86</f>
        <v>86</v>
      </c>
      <c r="D92" s="33" t="s">
        <v>164</v>
      </c>
      <c r="F92" s="44"/>
      <c r="G92" s="44"/>
      <c r="H92" s="44"/>
      <c r="I92" s="44"/>
      <c r="J92" s="44"/>
      <c r="K92" s="21"/>
      <c r="L92" s="64" t="str">
        <f t="shared" si="2"/>
        <v>✅ OK</v>
      </c>
    </row>
    <row r="93" spans="2:12" ht="19.5" customHeight="1" x14ac:dyDescent="0.3">
      <c r="B93" s="18" t="s">
        <v>213</v>
      </c>
      <c r="C93" s="34">
        <f>'🌱 Configuração'!D6+87</f>
        <v>87</v>
      </c>
      <c r="D93" s="33" t="s">
        <v>164</v>
      </c>
      <c r="F93" s="52"/>
      <c r="G93" s="52"/>
      <c r="H93" s="52"/>
      <c r="I93" s="52"/>
      <c r="J93" s="52"/>
      <c r="K93" s="35"/>
      <c r="L93" s="66" t="str">
        <f t="shared" si="2"/>
        <v>✅ OK</v>
      </c>
    </row>
    <row r="94" spans="2:12" ht="19.5" customHeight="1" x14ac:dyDescent="0.3">
      <c r="B94" s="18" t="s">
        <v>214</v>
      </c>
      <c r="C94" s="19">
        <f>'🌱 Configuração'!D6+88</f>
        <v>88</v>
      </c>
      <c r="D94" s="33" t="s">
        <v>164</v>
      </c>
      <c r="F94" s="44"/>
      <c r="G94" s="44"/>
      <c r="H94" s="44"/>
      <c r="I94" s="44"/>
      <c r="J94" s="44"/>
      <c r="K94" s="21"/>
      <c r="L94" s="64" t="str">
        <f t="shared" si="2"/>
        <v>✅ OK</v>
      </c>
    </row>
    <row r="95" spans="2:12" ht="19.5" customHeight="1" x14ac:dyDescent="0.3">
      <c r="B95" s="18" t="s">
        <v>215</v>
      </c>
      <c r="C95" s="34">
        <f>'🌱 Configuração'!D6+89</f>
        <v>89</v>
      </c>
      <c r="D95" s="33" t="s">
        <v>164</v>
      </c>
      <c r="F95" s="52"/>
      <c r="G95" s="52"/>
      <c r="H95" s="52"/>
      <c r="I95" s="52"/>
      <c r="J95" s="52"/>
      <c r="K95" s="35"/>
      <c r="L95" s="66" t="str">
        <f t="shared" si="2"/>
        <v>✅ OK</v>
      </c>
    </row>
    <row r="96" spans="2:12" ht="19.5" customHeight="1" x14ac:dyDescent="0.3">
      <c r="B96" s="18" t="s">
        <v>216</v>
      </c>
      <c r="C96" s="19">
        <f>'🌱 Configuração'!D6+90</f>
        <v>90</v>
      </c>
      <c r="D96" s="33" t="s">
        <v>164</v>
      </c>
      <c r="F96" s="44"/>
      <c r="G96" s="44"/>
      <c r="H96" s="44"/>
      <c r="I96" s="44"/>
      <c r="J96" s="44"/>
      <c r="K96" s="21"/>
      <c r="L96" s="64" t="str">
        <f t="shared" si="2"/>
        <v>✅ OK</v>
      </c>
    </row>
    <row r="97" spans="2:12" ht="19.5" customHeight="1" x14ac:dyDescent="0.3">
      <c r="B97" s="18" t="s">
        <v>221</v>
      </c>
      <c r="C97" s="34">
        <f>'🌱 Configuração'!D6+91</f>
        <v>91</v>
      </c>
      <c r="D97" s="33" t="s">
        <v>164</v>
      </c>
      <c r="F97" s="52"/>
      <c r="G97" s="52"/>
      <c r="H97" s="52"/>
      <c r="I97" s="52"/>
      <c r="J97" s="52"/>
      <c r="K97" s="35"/>
      <c r="L97" s="66" t="str">
        <f t="shared" si="2"/>
        <v>✅ OK</v>
      </c>
    </row>
    <row r="98" spans="2:12" ht="19.5" customHeight="1" x14ac:dyDescent="0.3">
      <c r="B98" s="18" t="s">
        <v>223</v>
      </c>
      <c r="C98" s="19">
        <f>'🌱 Configuração'!D6+92</f>
        <v>92</v>
      </c>
      <c r="D98" s="33" t="s">
        <v>164</v>
      </c>
      <c r="F98" s="44"/>
      <c r="G98" s="44"/>
      <c r="H98" s="44"/>
      <c r="I98" s="44"/>
      <c r="J98" s="44"/>
      <c r="K98" s="21"/>
      <c r="L98" s="64" t="str">
        <f t="shared" si="2"/>
        <v>✅ OK</v>
      </c>
    </row>
    <row r="99" spans="2:12" ht="19.5" customHeight="1" x14ac:dyDescent="0.3">
      <c r="B99" s="18" t="s">
        <v>224</v>
      </c>
      <c r="C99" s="34">
        <f>'🌱 Configuração'!D6+93</f>
        <v>93</v>
      </c>
      <c r="D99" s="33" t="s">
        <v>164</v>
      </c>
      <c r="F99" s="52"/>
      <c r="G99" s="52"/>
      <c r="H99" s="52"/>
      <c r="I99" s="52"/>
      <c r="J99" s="52"/>
      <c r="K99" s="35"/>
      <c r="L99" s="66" t="str">
        <f t="shared" si="2"/>
        <v>✅ OK</v>
      </c>
    </row>
    <row r="100" spans="2:12" ht="19.5" customHeight="1" x14ac:dyDescent="0.3">
      <c r="B100" s="18" t="s">
        <v>225</v>
      </c>
      <c r="C100" s="19">
        <f>'🌱 Configuração'!D6+94</f>
        <v>94</v>
      </c>
      <c r="D100" s="33" t="s">
        <v>164</v>
      </c>
      <c r="F100" s="44"/>
      <c r="G100" s="44"/>
      <c r="H100" s="44"/>
      <c r="I100" s="44"/>
      <c r="J100" s="44"/>
      <c r="K100" s="21"/>
      <c r="L100" s="64" t="str">
        <f t="shared" si="2"/>
        <v>✅ OK</v>
      </c>
    </row>
    <row r="101" spans="2:12" ht="19.5" customHeight="1" x14ac:dyDescent="0.3">
      <c r="B101" s="18" t="s">
        <v>226</v>
      </c>
      <c r="C101" s="34">
        <f>'🌱 Configuração'!D6+95</f>
        <v>95</v>
      </c>
      <c r="D101" s="33" t="s">
        <v>164</v>
      </c>
      <c r="F101" s="52"/>
      <c r="G101" s="52"/>
      <c r="H101" s="52"/>
      <c r="I101" s="52"/>
      <c r="J101" s="52"/>
      <c r="K101" s="35"/>
      <c r="L101" s="66" t="str">
        <f t="shared" si="2"/>
        <v>✅ OK</v>
      </c>
    </row>
    <row r="102" spans="2:12" ht="19.5" customHeight="1" x14ac:dyDescent="0.3">
      <c r="B102" s="18" t="s">
        <v>227</v>
      </c>
      <c r="C102" s="19">
        <f>'🌱 Configuração'!D6+96</f>
        <v>96</v>
      </c>
      <c r="D102" s="33" t="s">
        <v>164</v>
      </c>
      <c r="F102" s="44"/>
      <c r="G102" s="44"/>
      <c r="H102" s="44"/>
      <c r="I102" s="44"/>
      <c r="J102" s="44"/>
      <c r="K102" s="21"/>
      <c r="L102" s="64" t="str">
        <f t="shared" ref="L102:L130" si="3">IF(AND(F102&lt;&gt;"",F102&lt;22),"⚠️ Temp baixa",IF(AND(F102&lt;&gt;"",F102&gt;28),"⚠️ Temp alta",IF(AND(H102&lt;&gt;"",H102&lt;5.5),"⚠️ pH baixo",IF(AND(H102&lt;&gt;"",H102&gt;6.8),"⚠️ pH alto","✅ OK"))))</f>
        <v>✅ OK</v>
      </c>
    </row>
    <row r="103" spans="2:12" ht="19.5" customHeight="1" x14ac:dyDescent="0.3">
      <c r="B103" s="18" t="s">
        <v>228</v>
      </c>
      <c r="C103" s="34">
        <f>'🌱 Configuração'!D6+97</f>
        <v>97</v>
      </c>
      <c r="D103" s="33" t="s">
        <v>164</v>
      </c>
      <c r="F103" s="52"/>
      <c r="G103" s="52"/>
      <c r="H103" s="52"/>
      <c r="I103" s="52"/>
      <c r="J103" s="52"/>
      <c r="K103" s="35"/>
      <c r="L103" s="66" t="str">
        <f t="shared" si="3"/>
        <v>✅ OK</v>
      </c>
    </row>
    <row r="104" spans="2:12" ht="19.5" customHeight="1" x14ac:dyDescent="0.3">
      <c r="B104" s="18" t="s">
        <v>231</v>
      </c>
      <c r="C104" s="19">
        <f>'🌱 Configuração'!D6+98</f>
        <v>98</v>
      </c>
      <c r="D104" s="33" t="s">
        <v>164</v>
      </c>
      <c r="F104" s="44"/>
      <c r="G104" s="44"/>
      <c r="H104" s="44"/>
      <c r="I104" s="44"/>
      <c r="J104" s="44"/>
      <c r="K104" s="21"/>
      <c r="L104" s="64" t="str">
        <f t="shared" si="3"/>
        <v>✅ OK</v>
      </c>
    </row>
    <row r="105" spans="2:12" ht="19.5" customHeight="1" x14ac:dyDescent="0.3">
      <c r="B105" s="18" t="s">
        <v>233</v>
      </c>
      <c r="C105" s="34">
        <f>'🌱 Configuração'!D6+99</f>
        <v>99</v>
      </c>
      <c r="D105" s="33" t="s">
        <v>164</v>
      </c>
      <c r="F105" s="52"/>
      <c r="G105" s="52"/>
      <c r="H105" s="52"/>
      <c r="I105" s="52"/>
      <c r="J105" s="52"/>
      <c r="K105" s="35"/>
      <c r="L105" s="66" t="str">
        <f t="shared" si="3"/>
        <v>✅ OK</v>
      </c>
    </row>
    <row r="106" spans="2:12" ht="19.5" customHeight="1" x14ac:dyDescent="0.3">
      <c r="B106" s="18" t="s">
        <v>234</v>
      </c>
      <c r="C106" s="19">
        <f>'🌱 Configuração'!D6+100</f>
        <v>100</v>
      </c>
      <c r="D106" s="33" t="s">
        <v>164</v>
      </c>
      <c r="F106" s="44"/>
      <c r="G106" s="44"/>
      <c r="H106" s="44"/>
      <c r="I106" s="44"/>
      <c r="J106" s="44"/>
      <c r="K106" s="21"/>
      <c r="L106" s="64" t="str">
        <f t="shared" si="3"/>
        <v>✅ OK</v>
      </c>
    </row>
    <row r="107" spans="2:12" ht="19.5" customHeight="1" x14ac:dyDescent="0.3">
      <c r="B107" s="18" t="s">
        <v>235</v>
      </c>
      <c r="C107" s="34">
        <f>'🌱 Configuração'!D6+101</f>
        <v>101</v>
      </c>
      <c r="D107" s="33" t="s">
        <v>164</v>
      </c>
      <c r="F107" s="52"/>
      <c r="G107" s="52"/>
      <c r="H107" s="52"/>
      <c r="I107" s="52"/>
      <c r="J107" s="52"/>
      <c r="K107" s="35"/>
      <c r="L107" s="66" t="str">
        <f t="shared" si="3"/>
        <v>✅ OK</v>
      </c>
    </row>
    <row r="108" spans="2:12" ht="19.5" customHeight="1" x14ac:dyDescent="0.3">
      <c r="B108" s="18" t="s">
        <v>236</v>
      </c>
      <c r="C108" s="19">
        <f>'🌱 Configuração'!D6+102</f>
        <v>102</v>
      </c>
      <c r="D108" s="33" t="s">
        <v>164</v>
      </c>
      <c r="F108" s="44"/>
      <c r="G108" s="44"/>
      <c r="H108" s="44"/>
      <c r="I108" s="44"/>
      <c r="J108" s="44"/>
      <c r="K108" s="21"/>
      <c r="L108" s="64" t="str">
        <f t="shared" si="3"/>
        <v>✅ OK</v>
      </c>
    </row>
    <row r="109" spans="2:12" ht="19.5" customHeight="1" x14ac:dyDescent="0.3">
      <c r="B109" s="18" t="s">
        <v>237</v>
      </c>
      <c r="C109" s="34">
        <f>'🌱 Configuração'!D6+103</f>
        <v>103</v>
      </c>
      <c r="D109" s="33" t="s">
        <v>164</v>
      </c>
      <c r="F109" s="52"/>
      <c r="G109" s="52"/>
      <c r="H109" s="52"/>
      <c r="I109" s="52"/>
      <c r="J109" s="52"/>
      <c r="K109" s="35"/>
      <c r="L109" s="66" t="str">
        <f t="shared" si="3"/>
        <v>✅ OK</v>
      </c>
    </row>
    <row r="110" spans="2:12" ht="19.5" customHeight="1" x14ac:dyDescent="0.3">
      <c r="B110" s="18" t="s">
        <v>238</v>
      </c>
      <c r="C110" s="19">
        <f>'🌱 Configuração'!D6+104</f>
        <v>104</v>
      </c>
      <c r="D110" s="33" t="s">
        <v>164</v>
      </c>
      <c r="F110" s="44"/>
      <c r="G110" s="44"/>
      <c r="H110" s="44"/>
      <c r="I110" s="44"/>
      <c r="J110" s="44"/>
      <c r="K110" s="21"/>
      <c r="L110" s="64" t="str">
        <f t="shared" si="3"/>
        <v>✅ OK</v>
      </c>
    </row>
    <row r="111" spans="2:12" ht="19.5" customHeight="1" x14ac:dyDescent="0.3">
      <c r="B111" s="18" t="s">
        <v>242</v>
      </c>
      <c r="C111" s="34">
        <f>'🌱 Configuração'!D6+105</f>
        <v>105</v>
      </c>
      <c r="D111" s="33" t="s">
        <v>164</v>
      </c>
      <c r="F111" s="52"/>
      <c r="G111" s="52"/>
      <c r="H111" s="52"/>
      <c r="I111" s="52"/>
      <c r="J111" s="52"/>
      <c r="K111" s="35"/>
      <c r="L111" s="66" t="str">
        <f t="shared" si="3"/>
        <v>✅ OK</v>
      </c>
    </row>
    <row r="112" spans="2:12" ht="19.5" customHeight="1" x14ac:dyDescent="0.3">
      <c r="B112" s="18" t="s">
        <v>244</v>
      </c>
      <c r="C112" s="19">
        <f>'🌱 Configuração'!D6+106</f>
        <v>106</v>
      </c>
      <c r="D112" s="33" t="s">
        <v>164</v>
      </c>
      <c r="F112" s="44"/>
      <c r="G112" s="44"/>
      <c r="H112" s="44"/>
      <c r="I112" s="44"/>
      <c r="J112" s="44"/>
      <c r="K112" s="21"/>
      <c r="L112" s="64" t="str">
        <f t="shared" si="3"/>
        <v>✅ OK</v>
      </c>
    </row>
    <row r="113" spans="2:12" ht="19.5" customHeight="1" x14ac:dyDescent="0.3">
      <c r="B113" s="18" t="s">
        <v>245</v>
      </c>
      <c r="C113" s="34">
        <f>'🌱 Configuração'!D6+107</f>
        <v>107</v>
      </c>
      <c r="D113" s="33" t="s">
        <v>164</v>
      </c>
      <c r="F113" s="52"/>
      <c r="G113" s="52"/>
      <c r="H113" s="52"/>
      <c r="I113" s="52"/>
      <c r="J113" s="52"/>
      <c r="K113" s="35"/>
      <c r="L113" s="66" t="str">
        <f t="shared" si="3"/>
        <v>✅ OK</v>
      </c>
    </row>
    <row r="114" spans="2:12" ht="19.5" customHeight="1" x14ac:dyDescent="0.3">
      <c r="B114" s="18" t="s">
        <v>246</v>
      </c>
      <c r="C114" s="19">
        <f>'🌱 Configuração'!D6+108</f>
        <v>108</v>
      </c>
      <c r="D114" s="33" t="s">
        <v>164</v>
      </c>
      <c r="F114" s="44"/>
      <c r="G114" s="44"/>
      <c r="H114" s="44"/>
      <c r="I114" s="44"/>
      <c r="J114" s="44"/>
      <c r="K114" s="21"/>
      <c r="L114" s="64" t="str">
        <f t="shared" si="3"/>
        <v>✅ OK</v>
      </c>
    </row>
    <row r="115" spans="2:12" ht="19.5" customHeight="1" x14ac:dyDescent="0.3">
      <c r="B115" s="18" t="s">
        <v>247</v>
      </c>
      <c r="C115" s="34">
        <f>'🌱 Configuração'!D6+109</f>
        <v>109</v>
      </c>
      <c r="D115" s="33" t="s">
        <v>164</v>
      </c>
      <c r="F115" s="52"/>
      <c r="G115" s="52"/>
      <c r="H115" s="52"/>
      <c r="I115" s="52"/>
      <c r="J115" s="52"/>
      <c r="K115" s="35"/>
      <c r="L115" s="66" t="str">
        <f t="shared" si="3"/>
        <v>✅ OK</v>
      </c>
    </row>
    <row r="116" spans="2:12" ht="19.5" customHeight="1" x14ac:dyDescent="0.3">
      <c r="B116" s="18" t="s">
        <v>248</v>
      </c>
      <c r="C116" s="19">
        <f>'🌱 Configuração'!D6+110</f>
        <v>110</v>
      </c>
      <c r="D116" s="33" t="s">
        <v>164</v>
      </c>
      <c r="F116" s="44"/>
      <c r="G116" s="44"/>
      <c r="H116" s="44"/>
      <c r="I116" s="44"/>
      <c r="J116" s="44"/>
      <c r="K116" s="21"/>
      <c r="L116" s="64" t="str">
        <f t="shared" si="3"/>
        <v>✅ OK</v>
      </c>
    </row>
    <row r="117" spans="2:12" ht="19.5" customHeight="1" x14ac:dyDescent="0.3">
      <c r="B117" s="18" t="s">
        <v>249</v>
      </c>
      <c r="C117" s="34">
        <f>'🌱 Configuração'!D6+111</f>
        <v>111</v>
      </c>
      <c r="D117" s="33" t="s">
        <v>164</v>
      </c>
      <c r="F117" s="52"/>
      <c r="G117" s="52"/>
      <c r="H117" s="52"/>
      <c r="I117" s="52"/>
      <c r="J117" s="52"/>
      <c r="K117" s="35"/>
      <c r="L117" s="66" t="str">
        <f t="shared" si="3"/>
        <v>✅ OK</v>
      </c>
    </row>
    <row r="118" spans="2:12" ht="19.5" customHeight="1" x14ac:dyDescent="0.3">
      <c r="B118" s="18" t="s">
        <v>252</v>
      </c>
      <c r="C118" s="19">
        <f>'🌱 Configuração'!D6+112</f>
        <v>112</v>
      </c>
      <c r="D118" s="33" t="s">
        <v>164</v>
      </c>
      <c r="F118" s="44"/>
      <c r="G118" s="44"/>
      <c r="H118" s="44"/>
      <c r="I118" s="44"/>
      <c r="J118" s="44"/>
      <c r="K118" s="21"/>
      <c r="L118" s="64" t="str">
        <f t="shared" si="3"/>
        <v>✅ OK</v>
      </c>
    </row>
    <row r="119" spans="2:12" ht="19.5" customHeight="1" x14ac:dyDescent="0.3">
      <c r="B119" s="18" t="s">
        <v>254</v>
      </c>
      <c r="C119" s="34">
        <f>'🌱 Configuração'!D6+113</f>
        <v>113</v>
      </c>
      <c r="D119" s="33" t="s">
        <v>164</v>
      </c>
      <c r="F119" s="52"/>
      <c r="G119" s="52"/>
      <c r="H119" s="52"/>
      <c r="I119" s="52"/>
      <c r="J119" s="52"/>
      <c r="K119" s="35"/>
      <c r="L119" s="66" t="str">
        <f t="shared" si="3"/>
        <v>✅ OK</v>
      </c>
    </row>
    <row r="120" spans="2:12" ht="19.5" customHeight="1" x14ac:dyDescent="0.3">
      <c r="B120" s="18" t="s">
        <v>255</v>
      </c>
      <c r="C120" s="19">
        <f>'🌱 Configuração'!D6+114</f>
        <v>114</v>
      </c>
      <c r="D120" s="33" t="s">
        <v>164</v>
      </c>
      <c r="F120" s="44"/>
      <c r="G120" s="44"/>
      <c r="H120" s="44"/>
      <c r="I120" s="44"/>
      <c r="J120" s="44"/>
      <c r="K120" s="21"/>
      <c r="L120" s="64" t="str">
        <f t="shared" si="3"/>
        <v>✅ OK</v>
      </c>
    </row>
    <row r="121" spans="2:12" ht="19.5" customHeight="1" x14ac:dyDescent="0.3">
      <c r="B121" s="18" t="s">
        <v>256</v>
      </c>
      <c r="C121" s="34">
        <f>'🌱 Configuração'!D6+115</f>
        <v>115</v>
      </c>
      <c r="D121" s="33" t="s">
        <v>164</v>
      </c>
      <c r="F121" s="52"/>
      <c r="G121" s="52"/>
      <c r="H121" s="52"/>
      <c r="I121" s="52"/>
      <c r="J121" s="52"/>
      <c r="K121" s="35"/>
      <c r="L121" s="66" t="str">
        <f t="shared" si="3"/>
        <v>✅ OK</v>
      </c>
    </row>
    <row r="122" spans="2:12" ht="19.5" customHeight="1" x14ac:dyDescent="0.3">
      <c r="B122" s="18" t="s">
        <v>258</v>
      </c>
      <c r="C122" s="19">
        <f>'🌱 Configuração'!D6+116</f>
        <v>116</v>
      </c>
      <c r="D122" s="33" t="s">
        <v>164</v>
      </c>
      <c r="F122" s="44"/>
      <c r="G122" s="44"/>
      <c r="H122" s="44"/>
      <c r="I122" s="44"/>
      <c r="J122" s="44"/>
      <c r="K122" s="21"/>
      <c r="L122" s="64" t="str">
        <f t="shared" si="3"/>
        <v>✅ OK</v>
      </c>
    </row>
    <row r="123" spans="2:12" ht="19.5" customHeight="1" x14ac:dyDescent="0.3">
      <c r="B123" s="18" t="s">
        <v>259</v>
      </c>
      <c r="C123" s="34">
        <f>'🌱 Configuração'!D6+117</f>
        <v>117</v>
      </c>
      <c r="D123" s="33" t="s">
        <v>164</v>
      </c>
      <c r="F123" s="52"/>
      <c r="G123" s="52"/>
      <c r="H123" s="52"/>
      <c r="I123" s="52"/>
      <c r="J123" s="52"/>
      <c r="K123" s="35"/>
      <c r="L123" s="66" t="str">
        <f t="shared" si="3"/>
        <v>✅ OK</v>
      </c>
    </row>
    <row r="124" spans="2:12" ht="19.5" customHeight="1" x14ac:dyDescent="0.3">
      <c r="B124" s="18" t="s">
        <v>260</v>
      </c>
      <c r="C124" s="19">
        <f>'🌱 Configuração'!D6+118</f>
        <v>118</v>
      </c>
      <c r="D124" s="33" t="s">
        <v>164</v>
      </c>
      <c r="F124" s="44"/>
      <c r="G124" s="44"/>
      <c r="H124" s="44"/>
      <c r="I124" s="44"/>
      <c r="J124" s="44"/>
      <c r="K124" s="21"/>
      <c r="L124" s="64" t="str">
        <f t="shared" si="3"/>
        <v>✅ OK</v>
      </c>
    </row>
    <row r="125" spans="2:12" ht="19.5" customHeight="1" x14ac:dyDescent="0.3">
      <c r="B125" s="18" t="s">
        <v>264</v>
      </c>
      <c r="C125" s="38">
        <f>'🌱 Configuração'!D6+119</f>
        <v>119</v>
      </c>
      <c r="D125" s="39" t="s">
        <v>265</v>
      </c>
      <c r="F125" s="54"/>
      <c r="G125" s="54"/>
      <c r="H125" s="54"/>
      <c r="I125" s="54"/>
      <c r="J125" s="54"/>
      <c r="K125" s="40"/>
      <c r="L125" s="67" t="str">
        <f t="shared" si="3"/>
        <v>✅ OK</v>
      </c>
    </row>
    <row r="126" spans="2:12" ht="19.5" customHeight="1" x14ac:dyDescent="0.3">
      <c r="B126" s="18" t="s">
        <v>267</v>
      </c>
      <c r="C126" s="19">
        <f>'🌱 Configuração'!D6+120</f>
        <v>120</v>
      </c>
      <c r="D126" s="39" t="s">
        <v>265</v>
      </c>
      <c r="F126" s="44"/>
      <c r="G126" s="44"/>
      <c r="H126" s="44"/>
      <c r="I126" s="44"/>
      <c r="J126" s="44"/>
      <c r="K126" s="21"/>
      <c r="L126" s="64" t="str">
        <f t="shared" si="3"/>
        <v>✅ OK</v>
      </c>
    </row>
    <row r="127" spans="2:12" ht="19.5" customHeight="1" x14ac:dyDescent="0.3">
      <c r="B127" s="18" t="s">
        <v>268</v>
      </c>
      <c r="C127" s="38">
        <f>'🌱 Configuração'!D6+121</f>
        <v>121</v>
      </c>
      <c r="D127" s="39" t="s">
        <v>265</v>
      </c>
      <c r="F127" s="54"/>
      <c r="G127" s="54"/>
      <c r="H127" s="54"/>
      <c r="I127" s="54"/>
      <c r="J127" s="54"/>
      <c r="K127" s="40"/>
      <c r="L127" s="67" t="str">
        <f t="shared" si="3"/>
        <v>✅ OK</v>
      </c>
    </row>
    <row r="128" spans="2:12" ht="19.5" customHeight="1" x14ac:dyDescent="0.3">
      <c r="B128" s="18" t="s">
        <v>270</v>
      </c>
      <c r="C128" s="19">
        <f>'🌱 Configuração'!D6+122</f>
        <v>122</v>
      </c>
      <c r="D128" s="39" t="s">
        <v>265</v>
      </c>
      <c r="F128" s="44"/>
      <c r="G128" s="44"/>
      <c r="H128" s="44"/>
      <c r="I128" s="44"/>
      <c r="J128" s="44"/>
      <c r="K128" s="21"/>
      <c r="L128" s="64" t="str">
        <f t="shared" si="3"/>
        <v>✅ OK</v>
      </c>
    </row>
    <row r="129" spans="2:12" ht="19.5" customHeight="1" x14ac:dyDescent="0.3">
      <c r="B129" s="18" t="s">
        <v>271</v>
      </c>
      <c r="C129" s="38">
        <f>'🌱 Configuração'!D6+123</f>
        <v>123</v>
      </c>
      <c r="D129" s="39" t="s">
        <v>265</v>
      </c>
      <c r="F129" s="54"/>
      <c r="G129" s="54"/>
      <c r="H129" s="54"/>
      <c r="I129" s="54"/>
      <c r="J129" s="54"/>
      <c r="K129" s="40"/>
      <c r="L129" s="67" t="str">
        <f t="shared" si="3"/>
        <v>✅ OK</v>
      </c>
    </row>
    <row r="130" spans="2:12" ht="19.5" customHeight="1" x14ac:dyDescent="0.3">
      <c r="B130" s="18" t="s">
        <v>272</v>
      </c>
      <c r="C130" s="19">
        <f>'🌱 Configuração'!D6+124</f>
        <v>124</v>
      </c>
      <c r="D130" s="39" t="s">
        <v>265</v>
      </c>
      <c r="F130" s="44"/>
      <c r="G130" s="44"/>
      <c r="H130" s="44"/>
      <c r="I130" s="44"/>
      <c r="J130" s="44"/>
      <c r="K130" s="21"/>
      <c r="L130" s="64" t="str">
        <f t="shared" si="3"/>
        <v>✅ OK</v>
      </c>
    </row>
  </sheetData>
  <mergeCells count="2">
    <mergeCell ref="B2:K2"/>
    <mergeCell ref="B3:K3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166"/>
  </sheetPr>
  <dimension ref="A2:E48"/>
  <sheetViews>
    <sheetView showGridLines="0" zoomScaleNormal="100" workbookViewId="0"/>
  </sheetViews>
  <sheetFormatPr defaultColWidth="8.6640625" defaultRowHeight="14.4" x14ac:dyDescent="0.3"/>
  <cols>
    <col min="1" max="1" width="3" style="15" customWidth="1"/>
    <col min="2" max="4" width="28" style="15" customWidth="1"/>
    <col min="5" max="5" width="3" style="15" customWidth="1"/>
  </cols>
  <sheetData>
    <row r="2" spans="2:4" ht="45" customHeight="1" x14ac:dyDescent="0.3">
      <c r="B2" s="82" t="s">
        <v>487</v>
      </c>
      <c r="C2" s="82"/>
      <c r="D2" s="82"/>
    </row>
    <row r="4" spans="2:4" ht="27.75" customHeight="1" x14ac:dyDescent="0.3">
      <c r="B4" s="12" t="s">
        <v>488</v>
      </c>
      <c r="C4" s="12"/>
      <c r="D4" s="12"/>
    </row>
    <row r="5" spans="2:4" ht="21.75" customHeight="1" x14ac:dyDescent="0.3">
      <c r="B5" s="57" t="s">
        <v>489</v>
      </c>
      <c r="C5" s="101" t="s">
        <v>490</v>
      </c>
      <c r="D5" s="101"/>
    </row>
    <row r="6" spans="2:4" ht="19.5" customHeight="1" x14ac:dyDescent="0.3">
      <c r="B6" s="17" t="s">
        <v>491</v>
      </c>
      <c r="C6" s="81" t="s">
        <v>492</v>
      </c>
      <c r="D6" s="81"/>
    </row>
    <row r="7" spans="2:4" ht="19.5" customHeight="1" x14ac:dyDescent="0.3">
      <c r="B7" s="68" t="s">
        <v>493</v>
      </c>
      <c r="C7" s="102" t="s">
        <v>494</v>
      </c>
      <c r="D7" s="102"/>
    </row>
    <row r="8" spans="2:4" ht="19.5" customHeight="1" x14ac:dyDescent="0.3">
      <c r="B8" s="17" t="s">
        <v>495</v>
      </c>
      <c r="C8" s="81" t="s">
        <v>496</v>
      </c>
      <c r="D8" s="81"/>
    </row>
    <row r="9" spans="2:4" ht="19.5" customHeight="1" x14ac:dyDescent="0.3">
      <c r="B9" s="68" t="s">
        <v>497</v>
      </c>
      <c r="C9" s="102" t="s">
        <v>498</v>
      </c>
      <c r="D9" s="102"/>
    </row>
    <row r="11" spans="2:4" ht="27.75" customHeight="1" x14ac:dyDescent="0.3">
      <c r="B11" s="12" t="s">
        <v>499</v>
      </c>
      <c r="C11" s="12"/>
      <c r="D11" s="12"/>
    </row>
    <row r="12" spans="2:4" ht="21.75" customHeight="1" x14ac:dyDescent="0.3">
      <c r="B12" s="57" t="s">
        <v>489</v>
      </c>
      <c r="C12" s="101" t="s">
        <v>490</v>
      </c>
      <c r="D12" s="101"/>
    </row>
    <row r="13" spans="2:4" ht="19.5" customHeight="1" x14ac:dyDescent="0.3">
      <c r="B13" s="17" t="s">
        <v>70</v>
      </c>
      <c r="C13" s="81" t="s">
        <v>500</v>
      </c>
      <c r="D13" s="81"/>
    </row>
    <row r="14" spans="2:4" ht="19.5" customHeight="1" x14ac:dyDescent="0.3">
      <c r="B14" s="68" t="s">
        <v>94</v>
      </c>
      <c r="C14" s="102" t="s">
        <v>501</v>
      </c>
      <c r="D14" s="102"/>
    </row>
    <row r="15" spans="2:4" ht="19.5" customHeight="1" x14ac:dyDescent="0.3">
      <c r="B15" s="17" t="s">
        <v>502</v>
      </c>
      <c r="C15" s="81" t="s">
        <v>503</v>
      </c>
      <c r="D15" s="81"/>
    </row>
    <row r="16" spans="2:4" ht="19.5" customHeight="1" x14ac:dyDescent="0.3">
      <c r="B16" s="68" t="s">
        <v>504</v>
      </c>
      <c r="C16" s="102" t="s">
        <v>505</v>
      </c>
      <c r="D16" s="102"/>
    </row>
    <row r="17" spans="2:4" ht="19.5" customHeight="1" x14ac:dyDescent="0.3">
      <c r="B17" s="17" t="s">
        <v>506</v>
      </c>
      <c r="C17" s="81" t="s">
        <v>507</v>
      </c>
      <c r="D17" s="81"/>
    </row>
    <row r="19" spans="2:4" ht="27.75" customHeight="1" x14ac:dyDescent="0.3">
      <c r="B19" s="12" t="s">
        <v>508</v>
      </c>
      <c r="C19" s="12"/>
      <c r="D19" s="12"/>
    </row>
    <row r="20" spans="2:4" ht="21.75" customHeight="1" x14ac:dyDescent="0.3">
      <c r="B20" s="57" t="s">
        <v>489</v>
      </c>
      <c r="C20" s="101" t="s">
        <v>490</v>
      </c>
      <c r="D20" s="101"/>
    </row>
    <row r="21" spans="2:4" ht="19.5" customHeight="1" x14ac:dyDescent="0.3">
      <c r="B21" s="17" t="s">
        <v>509</v>
      </c>
      <c r="C21" s="81" t="s">
        <v>510</v>
      </c>
      <c r="D21" s="81"/>
    </row>
    <row r="22" spans="2:4" ht="19.5" customHeight="1" x14ac:dyDescent="0.3">
      <c r="B22" s="68" t="s">
        <v>511</v>
      </c>
      <c r="C22" s="102" t="s">
        <v>512</v>
      </c>
      <c r="D22" s="102"/>
    </row>
    <row r="23" spans="2:4" ht="19.5" customHeight="1" x14ac:dyDescent="0.3">
      <c r="B23" s="17" t="s">
        <v>513</v>
      </c>
      <c r="C23" s="81" t="s">
        <v>514</v>
      </c>
      <c r="D23" s="81"/>
    </row>
    <row r="24" spans="2:4" ht="19.5" customHeight="1" x14ac:dyDescent="0.3">
      <c r="B24" s="68" t="s">
        <v>515</v>
      </c>
      <c r="C24" s="102" t="s">
        <v>516</v>
      </c>
      <c r="D24" s="102"/>
    </row>
    <row r="26" spans="2:4" ht="27.75" customHeight="1" x14ac:dyDescent="0.3">
      <c r="B26" s="12" t="s">
        <v>517</v>
      </c>
      <c r="C26" s="12"/>
      <c r="D26" s="12"/>
    </row>
    <row r="27" spans="2:4" ht="21.75" customHeight="1" x14ac:dyDescent="0.3">
      <c r="B27" s="57" t="s">
        <v>489</v>
      </c>
      <c r="C27" s="101" t="s">
        <v>490</v>
      </c>
      <c r="D27" s="101"/>
    </row>
    <row r="28" spans="2:4" ht="19.5" customHeight="1" x14ac:dyDescent="0.3">
      <c r="B28" s="17" t="s">
        <v>70</v>
      </c>
      <c r="C28" s="81" t="s">
        <v>518</v>
      </c>
      <c r="D28" s="81"/>
    </row>
    <row r="29" spans="2:4" ht="19.5" customHeight="1" x14ac:dyDescent="0.3">
      <c r="B29" s="68" t="s">
        <v>519</v>
      </c>
      <c r="C29" s="102" t="s">
        <v>520</v>
      </c>
      <c r="D29" s="102"/>
    </row>
    <row r="30" spans="2:4" ht="19.5" customHeight="1" x14ac:dyDescent="0.3">
      <c r="B30" s="17" t="s">
        <v>521</v>
      </c>
      <c r="C30" s="81" t="s">
        <v>522</v>
      </c>
      <c r="D30" s="81"/>
    </row>
    <row r="31" spans="2:4" ht="19.5" customHeight="1" x14ac:dyDescent="0.3">
      <c r="B31" s="68" t="s">
        <v>523</v>
      </c>
      <c r="C31" s="102" t="s">
        <v>524</v>
      </c>
      <c r="D31" s="102"/>
    </row>
    <row r="32" spans="2:4" ht="19.5" customHeight="1" x14ac:dyDescent="0.3">
      <c r="B32" s="17" t="s">
        <v>525</v>
      </c>
      <c r="C32" s="81" t="s">
        <v>526</v>
      </c>
      <c r="D32" s="81"/>
    </row>
    <row r="33" spans="2:4" ht="19.5" customHeight="1" x14ac:dyDescent="0.3">
      <c r="B33" s="68" t="s">
        <v>265</v>
      </c>
      <c r="C33" s="102" t="s">
        <v>527</v>
      </c>
      <c r="D33" s="102"/>
    </row>
    <row r="35" spans="2:4" ht="27.75" customHeight="1" x14ac:dyDescent="0.3">
      <c r="B35" s="12" t="s">
        <v>528</v>
      </c>
      <c r="C35" s="12"/>
      <c r="D35" s="12"/>
    </row>
    <row r="36" spans="2:4" ht="21.75" customHeight="1" x14ac:dyDescent="0.3">
      <c r="B36" s="57" t="s">
        <v>489</v>
      </c>
      <c r="C36" s="101" t="s">
        <v>490</v>
      </c>
      <c r="D36" s="101"/>
    </row>
    <row r="37" spans="2:4" ht="19.5" customHeight="1" x14ac:dyDescent="0.3">
      <c r="B37" s="17" t="s">
        <v>529</v>
      </c>
      <c r="C37" s="81" t="s">
        <v>530</v>
      </c>
      <c r="D37" s="81"/>
    </row>
    <row r="38" spans="2:4" ht="19.5" customHeight="1" x14ac:dyDescent="0.3">
      <c r="B38" s="68" t="s">
        <v>531</v>
      </c>
      <c r="C38" s="102" t="s">
        <v>532</v>
      </c>
      <c r="D38" s="102"/>
    </row>
    <row r="39" spans="2:4" ht="19.5" customHeight="1" x14ac:dyDescent="0.3">
      <c r="B39" s="17" t="s">
        <v>533</v>
      </c>
      <c r="C39" s="81" t="s">
        <v>534</v>
      </c>
      <c r="D39" s="81"/>
    </row>
    <row r="40" spans="2:4" ht="19.5" customHeight="1" x14ac:dyDescent="0.3">
      <c r="B40" s="68" t="s">
        <v>535</v>
      </c>
      <c r="C40" s="102" t="s">
        <v>536</v>
      </c>
      <c r="D40" s="102"/>
    </row>
    <row r="41" spans="2:4" ht="19.5" customHeight="1" x14ac:dyDescent="0.3">
      <c r="B41" s="17" t="s">
        <v>537</v>
      </c>
      <c r="C41" s="81" t="s">
        <v>538</v>
      </c>
      <c r="D41" s="81"/>
    </row>
    <row r="43" spans="2:4" ht="27.75" customHeight="1" x14ac:dyDescent="0.3">
      <c r="B43" s="12" t="s">
        <v>539</v>
      </c>
      <c r="C43" s="12"/>
      <c r="D43" s="12"/>
    </row>
    <row r="44" spans="2:4" ht="21.75" customHeight="1" x14ac:dyDescent="0.3">
      <c r="B44" s="57" t="s">
        <v>489</v>
      </c>
      <c r="C44" s="101" t="s">
        <v>490</v>
      </c>
      <c r="D44" s="101"/>
    </row>
    <row r="45" spans="2:4" ht="19.5" customHeight="1" x14ac:dyDescent="0.3">
      <c r="B45" s="17" t="s">
        <v>540</v>
      </c>
      <c r="C45" s="81" t="s">
        <v>541</v>
      </c>
      <c r="D45" s="81"/>
    </row>
    <row r="46" spans="2:4" ht="19.5" customHeight="1" x14ac:dyDescent="0.3">
      <c r="B46" s="68" t="s">
        <v>94</v>
      </c>
      <c r="C46" s="102" t="s">
        <v>542</v>
      </c>
      <c r="D46" s="102"/>
    </row>
    <row r="47" spans="2:4" ht="19.5" customHeight="1" x14ac:dyDescent="0.3">
      <c r="B47" s="17" t="s">
        <v>543</v>
      </c>
      <c r="C47" s="81" t="s">
        <v>544</v>
      </c>
      <c r="D47" s="81"/>
    </row>
    <row r="48" spans="2:4" ht="19.5" customHeight="1" x14ac:dyDescent="0.3">
      <c r="B48" s="68" t="s">
        <v>545</v>
      </c>
      <c r="C48" s="102" t="s">
        <v>546</v>
      </c>
      <c r="D48" s="102"/>
    </row>
  </sheetData>
  <mergeCells count="41">
    <mergeCell ref="C48:D48"/>
    <mergeCell ref="B43:D43"/>
    <mergeCell ref="C44:D44"/>
    <mergeCell ref="C45:D45"/>
    <mergeCell ref="C46:D46"/>
    <mergeCell ref="C47:D47"/>
    <mergeCell ref="C37:D37"/>
    <mergeCell ref="C38:D38"/>
    <mergeCell ref="C39:D39"/>
    <mergeCell ref="C40:D40"/>
    <mergeCell ref="C41:D41"/>
    <mergeCell ref="C31:D31"/>
    <mergeCell ref="C32:D32"/>
    <mergeCell ref="C33:D33"/>
    <mergeCell ref="B35:D35"/>
    <mergeCell ref="C36:D36"/>
    <mergeCell ref="B26:D26"/>
    <mergeCell ref="C27:D27"/>
    <mergeCell ref="C28:D28"/>
    <mergeCell ref="C29:D29"/>
    <mergeCell ref="C30:D30"/>
    <mergeCell ref="C20:D20"/>
    <mergeCell ref="C21:D21"/>
    <mergeCell ref="C22:D22"/>
    <mergeCell ref="C23:D23"/>
    <mergeCell ref="C24:D24"/>
    <mergeCell ref="C14:D14"/>
    <mergeCell ref="C15:D15"/>
    <mergeCell ref="C16:D16"/>
    <mergeCell ref="C17:D17"/>
    <mergeCell ref="B19:D19"/>
    <mergeCell ref="C8:D8"/>
    <mergeCell ref="C9:D9"/>
    <mergeCell ref="B11:D11"/>
    <mergeCell ref="C12:D12"/>
    <mergeCell ref="C13:D13"/>
    <mergeCell ref="B2:D2"/>
    <mergeCell ref="B4:D4"/>
    <mergeCell ref="C5:D5"/>
    <mergeCell ref="C6:D6"/>
    <mergeCell ref="C7:D7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🌱 Configuração</vt:lpstr>
      <vt:lpstr>📅 Cronograma</vt:lpstr>
      <vt:lpstr>💊 Adubação</vt:lpstr>
      <vt:lpstr>🐛 MIP — Pragas</vt:lpstr>
      <vt:lpstr>📊 Diário</vt:lpstr>
      <vt:lpstr>📖 Guia Rápido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lucio hudson</cp:lastModifiedBy>
  <cp:revision>0</cp:revision>
  <dcterms:created xsi:type="dcterms:W3CDTF">2026-03-25T11:45:54Z</dcterms:created>
  <dcterms:modified xsi:type="dcterms:W3CDTF">2026-03-25T15:50:54Z</dcterms:modified>
  <dc:language>en-US</dc:language>
</cp:coreProperties>
</file>